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codeName="ThisWorkbook" defaultThemeVersion="166925"/>
  <mc:AlternateContent xmlns:mc="http://schemas.openxmlformats.org/markup-compatibility/2006">
    <mc:Choice Requires="x15">
      <x15ac:absPath xmlns:x15ac="http://schemas.microsoft.com/office/spreadsheetml/2010/11/ac" url="/Users/nielsrook/Dropbox/__MBO-ICT/MBOscrum/Documenten MBOscrum/"/>
    </mc:Choice>
  </mc:AlternateContent>
  <xr:revisionPtr revIDLastSave="0" documentId="13_ncr:1_{67A03E7B-8888-B14B-8C66-DF24B494EA32}" xr6:coauthVersionLast="47" xr6:coauthVersionMax="47" xr10:uidLastSave="{00000000-0000-0000-0000-000000000000}"/>
  <bookViews>
    <workbookView xWindow="860" yWindow="500" windowWidth="32300" windowHeight="20500" activeTab="1" xr2:uid="{945F52FA-AD49-EC46-82A7-C51B9FFDFCEF}"/>
  </bookViews>
  <sheets>
    <sheet name="sprint planning" sheetId="3" r:id="rId1"/>
    <sheet name="punten planning" sheetId="1" r:id="rId2"/>
    <sheet name="Burndowns" sheetId="4" r:id="rId3"/>
    <sheet name="invulopties" sheetId="2" r:id="rId4"/>
    <sheet name="Uitleg" sheetId="5" r:id="rId5"/>
  </sheets>
  <definedNames>
    <definedName name="_xlnm._FilterDatabase" localSheetId="1" hidden="1">'punten planning'!$A$25:$F$25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H19" i="1"/>
  <c r="H18" i="1"/>
  <c r="H17" i="1"/>
  <c r="J39" i="3" l="1"/>
  <c r="N39" i="3" s="1"/>
  <c r="J38" i="3"/>
  <c r="M38" i="3" s="1"/>
  <c r="J37" i="3"/>
  <c r="L37" i="3" s="1"/>
  <c r="J36" i="3"/>
  <c r="M36" i="3" s="1"/>
  <c r="J35" i="3"/>
  <c r="L35" i="3" s="1"/>
  <c r="J34" i="3"/>
  <c r="L34" i="3" s="1"/>
  <c r="J33" i="3"/>
  <c r="N33" i="3" s="1"/>
  <c r="J32" i="3"/>
  <c r="N32" i="3" s="1"/>
  <c r="J31" i="3"/>
  <c r="J30" i="3"/>
  <c r="J29" i="3"/>
  <c r="J28" i="3"/>
  <c r="J27" i="3"/>
  <c r="J26" i="3"/>
  <c r="J19" i="3"/>
  <c r="L19" i="3" s="1"/>
  <c r="J18" i="3"/>
  <c r="L18" i="3" s="1"/>
  <c r="J17" i="3"/>
  <c r="L17" i="3" s="1"/>
  <c r="J16" i="3"/>
  <c r="M16" i="3" s="1"/>
  <c r="J15" i="3"/>
  <c r="M15" i="3" s="1"/>
  <c r="J14" i="3"/>
  <c r="N14" i="3" s="1"/>
  <c r="J13" i="3"/>
  <c r="M13" i="3" s="1"/>
  <c r="J12" i="3"/>
  <c r="L12" i="3" s="1"/>
  <c r="J11" i="3"/>
  <c r="J10" i="3"/>
  <c r="J9" i="3"/>
  <c r="J8" i="3"/>
  <c r="J7" i="3"/>
  <c r="J6" i="3"/>
  <c r="N17" i="3" l="1"/>
  <c r="L38" i="3"/>
  <c r="N18" i="3"/>
  <c r="M34" i="3"/>
  <c r="M33" i="3"/>
  <c r="L16" i="3"/>
  <c r="M19" i="3"/>
  <c r="N16" i="3"/>
  <c r="L15" i="3"/>
  <c r="N34" i="3"/>
  <c r="L33" i="3"/>
  <c r="N35" i="3"/>
  <c r="L14" i="3"/>
  <c r="N36" i="3"/>
  <c r="M17" i="3"/>
  <c r="L39" i="3"/>
  <c r="L13" i="3"/>
  <c r="M18" i="3"/>
  <c r="N15" i="3"/>
  <c r="M35" i="3"/>
  <c r="L32" i="3"/>
  <c r="M12" i="3"/>
  <c r="M32" i="3"/>
  <c r="N37" i="3"/>
  <c r="N19" i="3"/>
  <c r="M39" i="3"/>
  <c r="N38" i="3"/>
  <c r="N12" i="3"/>
  <c r="M14" i="3"/>
  <c r="N13" i="3"/>
  <c r="L36" i="3"/>
  <c r="M37" i="3"/>
  <c r="C39" i="3" l="1"/>
  <c r="C38" i="3"/>
  <c r="C37" i="3"/>
  <c r="C36" i="3"/>
  <c r="C35" i="3"/>
  <c r="C34" i="3"/>
  <c r="C33" i="3"/>
  <c r="C32" i="3"/>
  <c r="C31" i="3"/>
  <c r="C30" i="3"/>
  <c r="C29" i="3"/>
  <c r="C28" i="3"/>
  <c r="C27" i="3"/>
  <c r="C26" i="3"/>
  <c r="C19" i="3"/>
  <c r="C18" i="3"/>
  <c r="C17" i="3"/>
  <c r="C16" i="3"/>
  <c r="C15" i="3"/>
  <c r="C14" i="3"/>
  <c r="C13" i="3"/>
  <c r="C12" i="3"/>
  <c r="C11" i="3"/>
  <c r="C10" i="3"/>
  <c r="C9" i="3"/>
  <c r="C8" i="3"/>
  <c r="C7" i="3"/>
  <c r="C6" i="3"/>
  <c r="F20" i="1"/>
  <c r="F19" i="1"/>
  <c r="F18" i="1"/>
  <c r="F17" i="1"/>
  <c r="E5" i="3" s="1"/>
  <c r="L25" i="3" l="1"/>
  <c r="L5" i="3"/>
  <c r="E25" i="3"/>
  <c r="F25" i="3" s="1"/>
  <c r="G25" i="3" s="1"/>
  <c r="E32" i="3"/>
  <c r="F32" i="3"/>
  <c r="G32" i="3"/>
  <c r="F33" i="3"/>
  <c r="G33" i="3"/>
  <c r="E33" i="3"/>
  <c r="F13" i="3"/>
  <c r="G13" i="3"/>
  <c r="E13" i="3"/>
  <c r="E6" i="3"/>
  <c r="G36" i="3"/>
  <c r="E36" i="3"/>
  <c r="F36" i="3"/>
  <c r="E11" i="3"/>
  <c r="F12" i="3"/>
  <c r="G12" i="3"/>
  <c r="E12" i="3"/>
  <c r="E18" i="3"/>
  <c r="F18" i="3"/>
  <c r="G18" i="3"/>
  <c r="F15" i="3"/>
  <c r="G15" i="3"/>
  <c r="E15" i="3"/>
  <c r="F37" i="3"/>
  <c r="G37" i="3"/>
  <c r="E37" i="3"/>
  <c r="E8" i="3"/>
  <c r="G16" i="3"/>
  <c r="F16" i="3"/>
  <c r="E16" i="3"/>
  <c r="G38" i="3"/>
  <c r="F38" i="3"/>
  <c r="E38" i="3"/>
  <c r="E10" i="3"/>
  <c r="G19" i="3"/>
  <c r="E19" i="3"/>
  <c r="F19" i="3"/>
  <c r="G34" i="3"/>
  <c r="F34" i="3"/>
  <c r="E34" i="3"/>
  <c r="G35" i="3"/>
  <c r="F35" i="3"/>
  <c r="E35" i="3"/>
  <c r="G14" i="3"/>
  <c r="F14" i="3"/>
  <c r="E14" i="3"/>
  <c r="E7" i="3"/>
  <c r="E9" i="3"/>
  <c r="F17" i="3"/>
  <c r="G17" i="3"/>
  <c r="E17" i="3"/>
  <c r="E39" i="3"/>
  <c r="F39" i="3"/>
  <c r="G39" i="3"/>
  <c r="F5" i="3"/>
  <c r="F10" i="3" s="1"/>
  <c r="F31" i="3" l="1"/>
  <c r="E30" i="3"/>
  <c r="F7" i="3"/>
  <c r="E29" i="3"/>
  <c r="E31" i="3"/>
  <c r="F30" i="3"/>
  <c r="E26" i="3"/>
  <c r="F29" i="3"/>
  <c r="M5" i="3"/>
  <c r="L7" i="3"/>
  <c r="L9" i="3"/>
  <c r="L10" i="3"/>
  <c r="L11" i="3"/>
  <c r="L8" i="3"/>
  <c r="L6" i="3"/>
  <c r="F27" i="3"/>
  <c r="F28" i="3"/>
  <c r="E27" i="3"/>
  <c r="E28" i="3"/>
  <c r="M26" i="3"/>
  <c r="L30" i="3"/>
  <c r="L31" i="3"/>
  <c r="L26" i="3"/>
  <c r="L27" i="3"/>
  <c r="M29" i="3"/>
  <c r="M25" i="3"/>
  <c r="N25" i="3" s="1"/>
  <c r="M28" i="3"/>
  <c r="M27" i="3"/>
  <c r="L28" i="3"/>
  <c r="M31" i="3"/>
  <c r="M30" i="3"/>
  <c r="L29" i="3"/>
  <c r="F26" i="3"/>
  <c r="G26" i="3" s="1"/>
  <c r="F6" i="3"/>
  <c r="F9" i="3"/>
  <c r="F8" i="3"/>
  <c r="F11" i="3"/>
  <c r="G5" i="3"/>
  <c r="G8" i="3" l="1"/>
  <c r="G29" i="3"/>
  <c r="G28" i="3"/>
  <c r="G27" i="3"/>
  <c r="G31" i="3"/>
  <c r="G10" i="3"/>
  <c r="N26" i="3"/>
  <c r="N28" i="3"/>
  <c r="N27" i="3"/>
  <c r="N31" i="3"/>
  <c r="N29" i="3"/>
  <c r="N30" i="3"/>
  <c r="G30" i="3"/>
  <c r="M8" i="3"/>
  <c r="M9" i="3"/>
  <c r="M7" i="3"/>
  <c r="N5" i="3"/>
  <c r="M6" i="3"/>
  <c r="N6" i="3" s="1"/>
  <c r="M11" i="3"/>
  <c r="M10" i="3"/>
  <c r="G11" i="3"/>
  <c r="G9" i="3"/>
  <c r="G6" i="3"/>
  <c r="G7" i="3"/>
  <c r="N7" i="3" l="1"/>
  <c r="N9" i="3"/>
  <c r="N8" i="3"/>
  <c r="N11" i="3"/>
  <c r="N10" i="3"/>
  <c r="E27" i="1" l="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26" i="1"/>
  <c r="C76" i="1"/>
  <c r="C17" i="1" s="1"/>
  <c r="C16" i="1" l="1"/>
  <c r="E76" i="1"/>
  <c r="C19" i="1" s="1"/>
  <c r="G16" i="1" l="1"/>
  <c r="J16" i="1"/>
  <c r="C18" i="1"/>
  <c r="G17" i="1"/>
  <c r="G18" i="1"/>
  <c r="I16" i="1"/>
  <c r="G20" i="1"/>
  <c r="G19" i="1"/>
  <c r="J20" i="1" l="1"/>
  <c r="J19" i="1"/>
  <c r="J18" i="1"/>
  <c r="J17" i="1"/>
  <c r="I20" i="1"/>
  <c r="I19" i="1"/>
  <c r="I18" i="1"/>
  <c r="I17" i="1"/>
</calcChain>
</file>

<file path=xl/sharedStrings.xml><?xml version="1.0" encoding="utf-8"?>
<sst xmlns="http://schemas.openxmlformats.org/spreadsheetml/2006/main" count="85" uniqueCount="59">
  <si>
    <t>Team:</t>
  </si>
  <si>
    <t>Opleiding:</t>
  </si>
  <si>
    <t>Niveau:</t>
  </si>
  <si>
    <t>Teamleden:</t>
  </si>
  <si>
    <t>Werkdagen per week</t>
  </si>
  <si>
    <t>Aantal sprints per periode</t>
  </si>
  <si>
    <t>Duur periode (in weken)</t>
  </si>
  <si>
    <t>Taken:</t>
  </si>
  <si>
    <t>punten per taak</t>
  </si>
  <si>
    <t>totaal</t>
  </si>
  <si>
    <t>Nederlands spelling</t>
  </si>
  <si>
    <t>Engels brief</t>
  </si>
  <si>
    <t>Taak 1</t>
  </si>
  <si>
    <t>Taak 2</t>
  </si>
  <si>
    <t>Taak 3</t>
  </si>
  <si>
    <t>Done</t>
  </si>
  <si>
    <t>ja</t>
  </si>
  <si>
    <t>nee</t>
  </si>
  <si>
    <t>Punten totaal gepland</t>
  </si>
  <si>
    <t>Punten weggewerkt</t>
  </si>
  <si>
    <t>Nog te doen</t>
  </si>
  <si>
    <t>To do</t>
  </si>
  <si>
    <t>gepland</t>
  </si>
  <si>
    <t>gerealiseerd</t>
  </si>
  <si>
    <t>sprint 1</t>
  </si>
  <si>
    <t>sprint 2</t>
  </si>
  <si>
    <t>sprint 3</t>
  </si>
  <si>
    <t>sprint 4</t>
  </si>
  <si>
    <t>gemiddeld aantal punten per sprint</t>
  </si>
  <si>
    <t>Sprint planning</t>
  </si>
  <si>
    <t>gepland verloop</t>
  </si>
  <si>
    <t>begin</t>
  </si>
  <si>
    <t>still to do</t>
  </si>
  <si>
    <t>Taak 4</t>
  </si>
  <si>
    <t>Taak 5</t>
  </si>
  <si>
    <t>Taak 6</t>
  </si>
  <si>
    <t>Taak 7</t>
  </si>
  <si>
    <t>Taak 8</t>
  </si>
  <si>
    <t>Taak 9</t>
  </si>
  <si>
    <t>Taak 10</t>
  </si>
  <si>
    <t>Taak 11</t>
  </si>
  <si>
    <t>Taak 12</t>
  </si>
  <si>
    <t>Taak 13</t>
  </si>
  <si>
    <t>Taak 14</t>
  </si>
  <si>
    <t>Taak 15</t>
  </si>
  <si>
    <t>Taak 16</t>
  </si>
  <si>
    <t>Taak 17</t>
  </si>
  <si>
    <t>Taak 18</t>
  </si>
  <si>
    <t>Taak 19</t>
  </si>
  <si>
    <t>Taak 20</t>
  </si>
  <si>
    <t>done</t>
  </si>
  <si>
    <t>nog te doen</t>
  </si>
  <si>
    <t>ideaal</t>
  </si>
  <si>
    <t>dag</t>
  </si>
  <si>
    <t>Punten planning</t>
  </si>
  <si>
    <t>afgerond in sprint</t>
  </si>
  <si>
    <t>gepland in sprint</t>
  </si>
  <si>
    <t>Uitleg</t>
  </si>
  <si>
    <t>Deze Burn Down Charts zijn gemaakt om te gebruiken in het onderwijs. Het hele curriculum kan projectmatig worden aangepakt, maar de school kan er ook voor kiezen om een deel ervan te doen. De tabbladen zijn beveiligd zonder wachtwoord. Je kan de beveiliging opheffen, maar wees dan voorzichtig met de formules. Weet wat je doet en verander nooit iets in het origineel, maar maak eerst een kopie.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</si>
</sst>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theme="1"/>
      <name val="Calibri"/>
      <family val="2"/>
      <scheme val="minor"/>
    </font>
    <font>
      <b/>
      <sz val="16"/>
      <color theme="1"/>
      <name val="Calibri"/>
      <family val="2"/>
      <scheme val="minor"/>
    </font>
    <font>
      <sz val="8"/>
      <name val="Calibri"/>
      <family val="2"/>
      <scheme val="minor"/>
    </font>
    <font>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32">
    <xf numFmtId="0" fontId="0" fillId="0" borderId="0" xfId="0"/>
    <xf numFmtId="0" fontId="1" fillId="0" borderId="0" xfId="0" applyFont="1"/>
    <xf numFmtId="0" fontId="0" fillId="0" borderId="1" xfId="0" applyBorder="1"/>
    <xf numFmtId="0" fontId="0" fillId="0" borderId="0" xfId="0" applyAlignment="1">
      <alignment horizontal="center"/>
    </xf>
    <xf numFmtId="0" fontId="0" fillId="0" borderId="2" xfId="0" applyBorder="1"/>
    <xf numFmtId="0" fontId="0" fillId="2" borderId="1" xfId="0" applyFill="1" applyBorder="1" applyProtection="1">
      <protection locked="0"/>
    </xf>
    <xf numFmtId="0" fontId="0" fillId="2" borderId="1" xfId="0" applyFill="1" applyBorder="1" applyAlignment="1" applyProtection="1">
      <alignment horizontal="center"/>
      <protection locked="0"/>
    </xf>
    <xf numFmtId="0" fontId="3" fillId="0" borderId="0" xfId="0" applyFont="1"/>
    <xf numFmtId="0" fontId="0" fillId="0" borderId="4" xfId="0" applyBorder="1"/>
    <xf numFmtId="0" fontId="0" fillId="0" borderId="5" xfId="0" applyBorder="1"/>
    <xf numFmtId="0" fontId="0" fillId="0" borderId="6" xfId="0" applyBorder="1"/>
    <xf numFmtId="0" fontId="0" fillId="0" borderId="7" xfId="0" applyBorder="1"/>
    <xf numFmtId="14" fontId="0" fillId="2" borderId="6" xfId="0" applyNumberFormat="1" applyFill="1" applyBorder="1" applyProtection="1">
      <protection locked="0"/>
    </xf>
    <xf numFmtId="164" fontId="0" fillId="0" borderId="0" xfId="0" applyNumberFormat="1"/>
    <xf numFmtId="164" fontId="0" fillId="0" borderId="7" xfId="0" applyNumberFormat="1" applyBorder="1"/>
    <xf numFmtId="0" fontId="0" fillId="2" borderId="6" xfId="0" applyFill="1" applyBorder="1" applyProtection="1">
      <protection locked="0"/>
    </xf>
    <xf numFmtId="0" fontId="0" fillId="2" borderId="8" xfId="0" applyFill="1" applyBorder="1" applyProtection="1">
      <protection locked="0"/>
    </xf>
    <xf numFmtId="0" fontId="0" fillId="0" borderId="9" xfId="0" applyBorder="1"/>
    <xf numFmtId="164" fontId="0" fillId="0" borderId="9" xfId="0" applyNumberFormat="1" applyBorder="1"/>
    <xf numFmtId="164" fontId="0" fillId="0" borderId="10" xfId="0" applyNumberFormat="1" applyBorder="1"/>
    <xf numFmtId="0" fontId="3" fillId="0" borderId="3" xfId="0" applyFont="1" applyBorder="1"/>
    <xf numFmtId="0" fontId="0" fillId="0" borderId="11" xfId="0" applyBorder="1"/>
    <xf numFmtId="0" fontId="0" fillId="0" borderId="0" xfId="0" applyAlignment="1">
      <alignment horizontal="center" textRotation="45"/>
    </xf>
    <xf numFmtId="0" fontId="0" fillId="0" borderId="0" xfId="0" applyAlignment="1">
      <alignment horizontal="left" textRotation="45"/>
    </xf>
    <xf numFmtId="0" fontId="4" fillId="0" borderId="0" xfId="0" applyFont="1"/>
    <xf numFmtId="0" fontId="0" fillId="0" borderId="0" xfId="0" applyProtection="1">
      <protection locked="0"/>
    </xf>
    <xf numFmtId="0" fontId="0" fillId="0" borderId="4" xfId="0" applyBorder="1" applyAlignment="1">
      <alignment horizontal="center"/>
    </xf>
    <xf numFmtId="0" fontId="0" fillId="2" borderId="0" xfId="0" applyFill="1" applyAlignment="1" applyProtection="1">
      <alignment horizontal="center"/>
      <protection locked="0"/>
    </xf>
    <xf numFmtId="0" fontId="0" fillId="2" borderId="9" xfId="0" applyFill="1" applyBorder="1" applyAlignment="1" applyProtection="1">
      <alignment horizontal="center"/>
      <protection locked="0"/>
    </xf>
    <xf numFmtId="0" fontId="0" fillId="0" borderId="9" xfId="0" applyBorder="1" applyAlignment="1">
      <alignment horizontal="center"/>
    </xf>
    <xf numFmtId="0" fontId="0" fillId="0" borderId="0" xfId="0" applyAlignment="1">
      <alignment vertical="center" wrapText="1"/>
    </xf>
    <xf numFmtId="14" fontId="0" fillId="0" borderId="6" xfId="0" applyNumberFormat="1" applyFill="1" applyBorder="1" applyProtection="1">
      <protection locked="0"/>
    </xf>
  </cellXfs>
  <cellStyles count="1">
    <cellStyle name="Standaard"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Periode Burn 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2"/>
          <c:order val="0"/>
          <c:tx>
            <c:v>Ideaal</c:v>
          </c:tx>
          <c:spPr>
            <a:ln w="28575" cap="rnd">
              <a:solidFill>
                <a:schemeClr val="accent3"/>
              </a:solidFill>
              <a:round/>
            </a:ln>
            <a:effectLst/>
          </c:spPr>
          <c:marker>
            <c:symbol val="none"/>
          </c:marker>
          <c:dPt>
            <c:idx val="3"/>
            <c:marker>
              <c:symbol val="none"/>
            </c:marker>
            <c:bubble3D val="0"/>
            <c:spPr>
              <a:ln w="28575" cap="rnd">
                <a:solidFill>
                  <a:srgbClr val="FF0000"/>
                </a:solidFill>
                <a:round/>
              </a:ln>
              <a:effectLst/>
            </c:spPr>
            <c:extLst>
              <c:ext xmlns:c16="http://schemas.microsoft.com/office/drawing/2014/chart" uri="{C3380CC4-5D6E-409C-BE32-E72D297353CC}">
                <c16:uniqueId val="{00000003-B203-A344-8FFF-C5A71B619EDB}"/>
              </c:ext>
            </c:extLst>
          </c:dPt>
          <c:cat>
            <c:strRef>
              <c:f>'punten planning'!$E$16:$E$20</c:f>
              <c:strCache>
                <c:ptCount val="5"/>
                <c:pt idx="0">
                  <c:v>begin</c:v>
                </c:pt>
                <c:pt idx="1">
                  <c:v>1</c:v>
                </c:pt>
                <c:pt idx="2">
                  <c:v>2</c:v>
                </c:pt>
                <c:pt idx="3">
                  <c:v>3</c:v>
                </c:pt>
                <c:pt idx="4">
                  <c:v>4</c:v>
                </c:pt>
              </c:strCache>
            </c:strRef>
          </c:cat>
          <c:val>
            <c:numRef>
              <c:f>'punten planning'!$J$16:$J$20</c:f>
              <c:numCache>
                <c:formatCode>General</c:formatCode>
                <c:ptCount val="5"/>
                <c:pt idx="0">
                  <c:v>460</c:v>
                </c:pt>
                <c:pt idx="1">
                  <c:v>345</c:v>
                </c:pt>
                <c:pt idx="2">
                  <c:v>230</c:v>
                </c:pt>
                <c:pt idx="3">
                  <c:v>115</c:v>
                </c:pt>
                <c:pt idx="4">
                  <c:v>0</c:v>
                </c:pt>
              </c:numCache>
            </c:numRef>
          </c:val>
          <c:smooth val="0"/>
          <c:extLst>
            <c:ext xmlns:c16="http://schemas.microsoft.com/office/drawing/2014/chart" uri="{C3380CC4-5D6E-409C-BE32-E72D297353CC}">
              <c16:uniqueId val="{00000002-B203-A344-8FFF-C5A71B619EDB}"/>
            </c:ext>
          </c:extLst>
        </c:ser>
        <c:ser>
          <c:idx val="0"/>
          <c:order val="1"/>
          <c:tx>
            <c:strRef>
              <c:f>'punten planning'!$G$15</c:f>
              <c:strCache>
                <c:ptCount val="1"/>
                <c:pt idx="0">
                  <c:v>gepland verloop</c:v>
                </c:pt>
              </c:strCache>
            </c:strRef>
          </c:tx>
          <c:spPr>
            <a:ln w="28575" cap="rnd">
              <a:solidFill>
                <a:schemeClr val="accent1"/>
              </a:solidFill>
              <a:round/>
            </a:ln>
            <a:effectLst/>
          </c:spPr>
          <c:marker>
            <c:symbol val="none"/>
          </c:marker>
          <c:cat>
            <c:strRef>
              <c:f>'punten planning'!$E$16:$E$20</c:f>
              <c:strCache>
                <c:ptCount val="5"/>
                <c:pt idx="0">
                  <c:v>begin</c:v>
                </c:pt>
                <c:pt idx="1">
                  <c:v>1</c:v>
                </c:pt>
                <c:pt idx="2">
                  <c:v>2</c:v>
                </c:pt>
                <c:pt idx="3">
                  <c:v>3</c:v>
                </c:pt>
                <c:pt idx="4">
                  <c:v>4</c:v>
                </c:pt>
              </c:strCache>
            </c:strRef>
          </c:cat>
          <c:val>
            <c:numRef>
              <c:f>'punten planning'!$G$16:$G$20</c:f>
              <c:numCache>
                <c:formatCode>General</c:formatCode>
                <c:ptCount val="5"/>
                <c:pt idx="0">
                  <c:v>460</c:v>
                </c:pt>
                <c:pt idx="1">
                  <c:v>345</c:v>
                </c:pt>
                <c:pt idx="2">
                  <c:v>230</c:v>
                </c:pt>
                <c:pt idx="3">
                  <c:v>110</c:v>
                </c:pt>
                <c:pt idx="4">
                  <c:v>0</c:v>
                </c:pt>
              </c:numCache>
            </c:numRef>
          </c:val>
          <c:smooth val="0"/>
          <c:extLst>
            <c:ext xmlns:c16="http://schemas.microsoft.com/office/drawing/2014/chart" uri="{C3380CC4-5D6E-409C-BE32-E72D297353CC}">
              <c16:uniqueId val="{00000007-B203-A344-8FFF-C5A71B619EDB}"/>
            </c:ext>
          </c:extLst>
        </c:ser>
        <c:ser>
          <c:idx val="1"/>
          <c:order val="2"/>
          <c:tx>
            <c:strRef>
              <c:f>'punten planning'!$I$15</c:f>
              <c:strCache>
                <c:ptCount val="1"/>
                <c:pt idx="0">
                  <c:v>still to do</c:v>
                </c:pt>
              </c:strCache>
            </c:strRef>
          </c:tx>
          <c:spPr>
            <a:ln w="28575" cap="rnd">
              <a:solidFill>
                <a:schemeClr val="accent2"/>
              </a:solidFill>
              <a:round/>
            </a:ln>
            <a:effectLst/>
          </c:spPr>
          <c:marker>
            <c:symbol val="none"/>
          </c:marker>
          <c:cat>
            <c:strRef>
              <c:f>'punten planning'!$E$16:$E$20</c:f>
              <c:strCache>
                <c:ptCount val="5"/>
                <c:pt idx="0">
                  <c:v>begin</c:v>
                </c:pt>
                <c:pt idx="1">
                  <c:v>1</c:v>
                </c:pt>
                <c:pt idx="2">
                  <c:v>2</c:v>
                </c:pt>
                <c:pt idx="3">
                  <c:v>3</c:v>
                </c:pt>
                <c:pt idx="4">
                  <c:v>4</c:v>
                </c:pt>
              </c:strCache>
            </c:strRef>
          </c:cat>
          <c:val>
            <c:numRef>
              <c:f>'punten planning'!$I$16:$I$20</c:f>
              <c:numCache>
                <c:formatCode>General</c:formatCode>
                <c:ptCount val="5"/>
                <c:pt idx="0">
                  <c:v>460</c:v>
                </c:pt>
                <c:pt idx="1">
                  <c:v>440</c:v>
                </c:pt>
                <c:pt idx="2">
                  <c:v>365</c:v>
                </c:pt>
                <c:pt idx="3">
                  <c:v>365</c:v>
                </c:pt>
                <c:pt idx="4">
                  <c:v>365</c:v>
                </c:pt>
              </c:numCache>
            </c:numRef>
          </c:val>
          <c:smooth val="0"/>
          <c:extLst>
            <c:ext xmlns:c16="http://schemas.microsoft.com/office/drawing/2014/chart" uri="{C3380CC4-5D6E-409C-BE32-E72D297353CC}">
              <c16:uniqueId val="{00000008-B203-A344-8FFF-C5A71B619EDB}"/>
            </c:ext>
          </c:extLst>
        </c:ser>
        <c:dLbls>
          <c:showLegendKey val="0"/>
          <c:showVal val="0"/>
          <c:showCatName val="0"/>
          <c:showSerName val="0"/>
          <c:showPercent val="0"/>
          <c:showBubbleSize val="0"/>
        </c:dLbls>
        <c:smooth val="0"/>
        <c:axId val="1647159167"/>
        <c:axId val="1647116319"/>
      </c:lineChart>
      <c:catAx>
        <c:axId val="1647159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647116319"/>
        <c:crosses val="autoZero"/>
        <c:auto val="1"/>
        <c:lblAlgn val="ctr"/>
        <c:lblOffset val="100"/>
        <c:noMultiLvlLbl val="0"/>
      </c:catAx>
      <c:valAx>
        <c:axId val="16471163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6471591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Sprint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'sprint planning'!$E$4</c:f>
              <c:strCache>
                <c:ptCount val="1"/>
                <c:pt idx="0">
                  <c:v>nog te doen</c:v>
                </c:pt>
              </c:strCache>
            </c:strRef>
          </c:tx>
          <c:spPr>
            <a:ln w="28575" cap="rnd">
              <a:solidFill>
                <a:srgbClr val="0070C0"/>
              </a:solidFill>
              <a:round/>
            </a:ln>
            <a:effectLst/>
          </c:spPr>
          <c:marker>
            <c:symbol val="none"/>
          </c:marker>
          <c:cat>
            <c:numRef>
              <c:f>'sprint planning'!$C$25:$C$39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planning'!$E$5:$E$19</c:f>
              <c:numCache>
                <c:formatCode>General</c:formatCode>
                <c:ptCount val="15"/>
                <c:pt idx="0">
                  <c:v>115</c:v>
                </c:pt>
                <c:pt idx="1">
                  <c:v>105</c:v>
                </c:pt>
                <c:pt idx="2">
                  <c:v>95</c:v>
                </c:pt>
                <c:pt idx="3">
                  <c:v>75</c:v>
                </c:pt>
                <c:pt idx="4">
                  <c:v>55</c:v>
                </c:pt>
                <c:pt idx="5">
                  <c:v>35</c:v>
                </c:pt>
                <c:pt idx="6">
                  <c:v>25</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0F8F-1E49-A06F-16CF53BC6378}"/>
            </c:ext>
          </c:extLst>
        </c:ser>
        <c:ser>
          <c:idx val="3"/>
          <c:order val="1"/>
          <c:tx>
            <c:strRef>
              <c:f>'sprint planning'!$G$4</c:f>
              <c:strCache>
                <c:ptCount val="1"/>
                <c:pt idx="0">
                  <c:v>ideaal</c:v>
                </c:pt>
              </c:strCache>
            </c:strRef>
          </c:tx>
          <c:spPr>
            <a:ln w="28575" cap="rnd">
              <a:solidFill>
                <a:srgbClr val="FF0000"/>
              </a:solidFill>
              <a:round/>
            </a:ln>
            <a:effectLst/>
          </c:spPr>
          <c:marker>
            <c:symbol val="none"/>
          </c:marker>
          <c:cat>
            <c:numRef>
              <c:f>'sprint planning'!$C$25:$C$39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planning'!$G$5:$G$19</c:f>
              <c:numCache>
                <c:formatCode>0.0</c:formatCode>
                <c:ptCount val="15"/>
                <c:pt idx="0" formatCode="General">
                  <c:v>115</c:v>
                </c:pt>
                <c:pt idx="1">
                  <c:v>95.833333333333329</c:v>
                </c:pt>
                <c:pt idx="2">
                  <c:v>76.666666666666657</c:v>
                </c:pt>
                <c:pt idx="3">
                  <c:v>57.5</c:v>
                </c:pt>
                <c:pt idx="4">
                  <c:v>38.333333333333329</c:v>
                </c:pt>
                <c:pt idx="5">
                  <c:v>19.166666666666657</c:v>
                </c:pt>
                <c:pt idx="6">
                  <c:v>-1.4210854715202004E-14</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4-0F8F-1E49-A06F-16CF53BC6378}"/>
            </c:ext>
          </c:extLst>
        </c:ser>
        <c:dLbls>
          <c:showLegendKey val="0"/>
          <c:showVal val="0"/>
          <c:showCatName val="0"/>
          <c:showSerName val="0"/>
          <c:showPercent val="0"/>
          <c:showBubbleSize val="0"/>
        </c:dLbls>
        <c:smooth val="0"/>
        <c:axId val="1675474895"/>
        <c:axId val="1674784175"/>
      </c:lineChart>
      <c:catAx>
        <c:axId val="1675474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674784175"/>
        <c:crosses val="autoZero"/>
        <c:auto val="1"/>
        <c:lblAlgn val="ctr"/>
        <c:lblOffset val="100"/>
        <c:noMultiLvlLbl val="0"/>
      </c:catAx>
      <c:valAx>
        <c:axId val="16747841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6754748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Sprint 2</a:t>
            </a:r>
          </a:p>
        </c:rich>
      </c:tx>
      <c:overlay val="0"/>
      <c:spPr>
        <a:noFill/>
        <a:ln>
          <a:noFill/>
        </a:ln>
        <a:effectLst/>
      </c:spPr>
    </c:title>
    <c:autoTitleDeleted val="0"/>
    <c:plotArea>
      <c:layout/>
      <c:lineChart>
        <c:grouping val="standard"/>
        <c:varyColors val="0"/>
        <c:ser>
          <c:idx val="0"/>
          <c:order val="0"/>
          <c:tx>
            <c:strRef>
              <c:f>'sprint planning'!$E$24</c:f>
              <c:strCache>
                <c:ptCount val="1"/>
                <c:pt idx="0">
                  <c:v>nog te doen</c:v>
                </c:pt>
              </c:strCache>
            </c:strRef>
          </c:tx>
          <c:marker>
            <c:symbol val="none"/>
          </c:marker>
          <c:cat>
            <c:numRef>
              <c:f>'sprint planning'!$C$25:$C$39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planning'!$E$25:$E$39</c:f>
              <c:numCache>
                <c:formatCode>General</c:formatCode>
                <c:ptCount val="15"/>
                <c:pt idx="0">
                  <c:v>115</c:v>
                </c:pt>
                <c:pt idx="1">
                  <c:v>100</c:v>
                </c:pt>
                <c:pt idx="2">
                  <c:v>80</c:v>
                </c:pt>
                <c:pt idx="3">
                  <c:v>50</c:v>
                </c:pt>
                <c:pt idx="4">
                  <c:v>50</c:v>
                </c:pt>
                <c:pt idx="5">
                  <c:v>50</c:v>
                </c:pt>
                <c:pt idx="6">
                  <c:v>50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9-1490-654B-AA64-CDCF22D25443}"/>
            </c:ext>
          </c:extLst>
        </c:ser>
        <c:ser>
          <c:idx val="1"/>
          <c:order val="1"/>
          <c:tx>
            <c:strRef>
              <c:f>'sprint planning'!$G$24</c:f>
              <c:strCache>
                <c:ptCount val="1"/>
                <c:pt idx="0">
                  <c:v>ideaal</c:v>
                </c:pt>
              </c:strCache>
            </c:strRef>
          </c:tx>
          <c:marker>
            <c:symbol val="none"/>
          </c:marker>
          <c:cat>
            <c:numRef>
              <c:f>'sprint planning'!$C$25:$C$39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planning'!$G$25:$G$39</c:f>
              <c:numCache>
                <c:formatCode>0.0</c:formatCode>
                <c:ptCount val="15"/>
                <c:pt idx="0" formatCode="General">
                  <c:v>115</c:v>
                </c:pt>
                <c:pt idx="1">
                  <c:v>95.833333333333329</c:v>
                </c:pt>
                <c:pt idx="2">
                  <c:v>76.666666666666657</c:v>
                </c:pt>
                <c:pt idx="3">
                  <c:v>57.5</c:v>
                </c:pt>
                <c:pt idx="4">
                  <c:v>38.333333333333329</c:v>
                </c:pt>
                <c:pt idx="5">
                  <c:v>19.166666666666657</c:v>
                </c:pt>
                <c:pt idx="6">
                  <c:v>-1.4210854715202004E-14</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A-1490-654B-AA64-CDCF22D25443}"/>
            </c:ext>
          </c:extLst>
        </c:ser>
        <c:ser>
          <c:idx val="2"/>
          <c:order val="2"/>
          <c:tx>
            <c:strRef>
              <c:f>'sprint planning'!$E$24</c:f>
              <c:strCache>
                <c:ptCount val="1"/>
                <c:pt idx="0">
                  <c:v>nog te doen</c:v>
                </c:pt>
              </c:strCache>
            </c:strRef>
          </c:tx>
          <c:spPr>
            <a:ln w="28575" cap="rnd">
              <a:solidFill>
                <a:srgbClr val="0070C0"/>
              </a:solidFill>
              <a:round/>
            </a:ln>
            <a:effectLst/>
          </c:spPr>
          <c:marker>
            <c:symbol val="none"/>
          </c:marker>
          <c:cat>
            <c:numRef>
              <c:f>'sprint planning'!$C$25:$C$39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planning'!$E$25:$E$39</c:f>
              <c:numCache>
                <c:formatCode>General</c:formatCode>
                <c:ptCount val="15"/>
                <c:pt idx="0">
                  <c:v>115</c:v>
                </c:pt>
                <c:pt idx="1">
                  <c:v>100</c:v>
                </c:pt>
                <c:pt idx="2">
                  <c:v>80</c:v>
                </c:pt>
                <c:pt idx="3">
                  <c:v>50</c:v>
                </c:pt>
                <c:pt idx="4">
                  <c:v>50</c:v>
                </c:pt>
                <c:pt idx="5">
                  <c:v>50</c:v>
                </c:pt>
                <c:pt idx="6">
                  <c:v>50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6-1490-654B-AA64-CDCF22D25443}"/>
            </c:ext>
          </c:extLst>
        </c:ser>
        <c:ser>
          <c:idx val="4"/>
          <c:order val="3"/>
          <c:tx>
            <c:strRef>
              <c:f>'sprint planning'!$G$24</c:f>
              <c:strCache>
                <c:ptCount val="1"/>
                <c:pt idx="0">
                  <c:v>ideaal</c:v>
                </c:pt>
              </c:strCache>
            </c:strRef>
          </c:tx>
          <c:spPr>
            <a:ln w="28575" cap="rnd">
              <a:solidFill>
                <a:srgbClr val="FF0000"/>
              </a:solidFill>
              <a:round/>
            </a:ln>
            <a:effectLst/>
          </c:spPr>
          <c:marker>
            <c:symbol val="none"/>
          </c:marker>
          <c:cat>
            <c:numRef>
              <c:f>'sprint planning'!$C$25:$C$39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planning'!$G$25:$G$39</c:f>
              <c:numCache>
                <c:formatCode>0.0</c:formatCode>
                <c:ptCount val="15"/>
                <c:pt idx="0" formatCode="General">
                  <c:v>115</c:v>
                </c:pt>
                <c:pt idx="1">
                  <c:v>95.833333333333329</c:v>
                </c:pt>
                <c:pt idx="2">
                  <c:v>76.666666666666657</c:v>
                </c:pt>
                <c:pt idx="3">
                  <c:v>57.5</c:v>
                </c:pt>
                <c:pt idx="4">
                  <c:v>38.333333333333329</c:v>
                </c:pt>
                <c:pt idx="5">
                  <c:v>19.166666666666657</c:v>
                </c:pt>
                <c:pt idx="6">
                  <c:v>-1.4210854715202004E-14</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8-1490-654B-AA64-CDCF22D25443}"/>
            </c:ext>
          </c:extLst>
        </c:ser>
        <c:dLbls>
          <c:showLegendKey val="0"/>
          <c:showVal val="0"/>
          <c:showCatName val="0"/>
          <c:showSerName val="0"/>
          <c:showPercent val="0"/>
          <c:showBubbleSize val="0"/>
        </c:dLbls>
        <c:smooth val="0"/>
        <c:axId val="1670791087"/>
        <c:axId val="1731250623"/>
      </c:lineChart>
      <c:catAx>
        <c:axId val="1670791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731250623"/>
        <c:crosses val="autoZero"/>
        <c:auto val="1"/>
        <c:lblAlgn val="ctr"/>
        <c:lblOffset val="100"/>
        <c:noMultiLvlLbl val="0"/>
      </c:catAx>
      <c:valAx>
        <c:axId val="1731250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670791087"/>
        <c:crosses val="autoZero"/>
        <c:crossBetween val="between"/>
      </c:valAx>
    </c:plotArea>
    <c:plotVisOnly val="1"/>
    <c:dispBlanksAs val="gap"/>
    <c:showDLblsOverMax val="0"/>
    <c:extLst/>
  </c:chart>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Sprint 3</a:t>
            </a:r>
          </a:p>
        </c:rich>
      </c:tx>
      <c:overlay val="0"/>
      <c:spPr>
        <a:noFill/>
        <a:ln>
          <a:noFill/>
        </a:ln>
        <a:effectLst/>
      </c:spPr>
    </c:title>
    <c:autoTitleDeleted val="0"/>
    <c:plotArea>
      <c:layout/>
      <c:lineChart>
        <c:grouping val="standard"/>
        <c:varyColors val="0"/>
        <c:ser>
          <c:idx val="4"/>
          <c:order val="0"/>
          <c:tx>
            <c:strRef>
              <c:f>'sprint planning'!$L$4</c:f>
              <c:strCache>
                <c:ptCount val="1"/>
                <c:pt idx="0">
                  <c:v>nog te doen</c:v>
                </c:pt>
              </c:strCache>
            </c:strRef>
          </c:tx>
          <c:spPr>
            <a:ln>
              <a:solidFill>
                <a:srgbClr val="0070C0"/>
              </a:solidFill>
            </a:ln>
          </c:spPr>
          <c:marker>
            <c:symbol val="none"/>
          </c:marker>
          <c:cat>
            <c:numRef>
              <c:f>'sprint planning'!$J$5:$J$19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planning'!$L$5:$L$19</c:f>
              <c:numCache>
                <c:formatCode>General</c:formatCode>
                <c:ptCount val="15"/>
                <c:pt idx="0">
                  <c:v>120</c:v>
                </c:pt>
                <c:pt idx="1">
                  <c:v>120</c:v>
                </c:pt>
                <c:pt idx="2">
                  <c:v>120</c:v>
                </c:pt>
                <c:pt idx="3">
                  <c:v>120</c:v>
                </c:pt>
                <c:pt idx="4">
                  <c:v>120</c:v>
                </c:pt>
                <c:pt idx="5">
                  <c:v>120</c:v>
                </c:pt>
                <c:pt idx="6">
                  <c:v>120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7711-064D-A88D-D595A64E5DAD}"/>
            </c:ext>
          </c:extLst>
        </c:ser>
        <c:ser>
          <c:idx val="5"/>
          <c:order val="1"/>
          <c:tx>
            <c:strRef>
              <c:f>'sprint planning'!$N$4</c:f>
              <c:strCache>
                <c:ptCount val="1"/>
                <c:pt idx="0">
                  <c:v>ideaal</c:v>
                </c:pt>
              </c:strCache>
            </c:strRef>
          </c:tx>
          <c:spPr>
            <a:ln>
              <a:solidFill>
                <a:srgbClr val="FF0000"/>
              </a:solidFill>
            </a:ln>
          </c:spPr>
          <c:marker>
            <c:symbol val="none"/>
          </c:marker>
          <c:cat>
            <c:numRef>
              <c:f>'sprint planning'!$J$5:$J$19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planning'!$N$5:$N$19</c:f>
              <c:numCache>
                <c:formatCode>0.0</c:formatCode>
                <c:ptCount val="15"/>
                <c:pt idx="0" formatCode="General">
                  <c:v>120</c:v>
                </c:pt>
                <c:pt idx="1">
                  <c:v>100</c:v>
                </c:pt>
                <c:pt idx="2">
                  <c:v>80</c:v>
                </c:pt>
                <c:pt idx="3">
                  <c:v>60</c:v>
                </c:pt>
                <c:pt idx="4">
                  <c:v>40</c:v>
                </c:pt>
                <c:pt idx="5">
                  <c:v>20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5-7711-064D-A88D-D595A64E5DAD}"/>
            </c:ext>
          </c:extLst>
        </c:ser>
        <c:dLbls>
          <c:showLegendKey val="0"/>
          <c:showVal val="0"/>
          <c:showCatName val="0"/>
          <c:showSerName val="0"/>
          <c:showPercent val="0"/>
          <c:showBubbleSize val="0"/>
        </c:dLbls>
        <c:smooth val="0"/>
        <c:axId val="1670791087"/>
        <c:axId val="1731250623"/>
      </c:lineChart>
      <c:catAx>
        <c:axId val="1670791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731250623"/>
        <c:crosses val="autoZero"/>
        <c:auto val="1"/>
        <c:lblAlgn val="ctr"/>
        <c:lblOffset val="100"/>
        <c:noMultiLvlLbl val="0"/>
      </c:catAx>
      <c:valAx>
        <c:axId val="1731250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670791087"/>
        <c:crosses val="autoZero"/>
        <c:crossBetween val="between"/>
      </c:valAx>
    </c:plotArea>
    <c:plotVisOnly val="1"/>
    <c:dispBlanksAs val="gap"/>
    <c:showDLblsOverMax val="0"/>
    <c:extLst/>
  </c:chart>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Sprint 4</a:t>
            </a:r>
          </a:p>
        </c:rich>
      </c:tx>
      <c:overlay val="0"/>
      <c:spPr>
        <a:noFill/>
        <a:ln>
          <a:noFill/>
        </a:ln>
        <a:effectLst/>
      </c:spPr>
    </c:title>
    <c:autoTitleDeleted val="0"/>
    <c:plotArea>
      <c:layout/>
      <c:lineChart>
        <c:grouping val="standard"/>
        <c:varyColors val="0"/>
        <c:ser>
          <c:idx val="1"/>
          <c:order val="0"/>
          <c:tx>
            <c:strRef>
              <c:f>'sprint planning'!$L$24</c:f>
              <c:strCache>
                <c:ptCount val="1"/>
                <c:pt idx="0">
                  <c:v>nog te doen</c:v>
                </c:pt>
              </c:strCache>
            </c:strRef>
          </c:tx>
          <c:spPr>
            <a:ln>
              <a:solidFill>
                <a:srgbClr val="0070C0"/>
              </a:solidFill>
            </a:ln>
          </c:spPr>
          <c:marker>
            <c:symbol val="none"/>
          </c:marker>
          <c:cat>
            <c:numRef>
              <c:f>'sprint planning'!$J$25:$J$39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planning'!$L$25:$L$39</c:f>
              <c:numCache>
                <c:formatCode>General</c:formatCode>
                <c:ptCount val="15"/>
                <c:pt idx="0">
                  <c:v>110</c:v>
                </c:pt>
                <c:pt idx="1">
                  <c:v>110</c:v>
                </c:pt>
                <c:pt idx="2">
                  <c:v>110</c:v>
                </c:pt>
                <c:pt idx="3">
                  <c:v>110</c:v>
                </c:pt>
                <c:pt idx="4">
                  <c:v>110</c:v>
                </c:pt>
                <c:pt idx="5">
                  <c:v>110</c:v>
                </c:pt>
                <c:pt idx="6">
                  <c:v>110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5FA5-8A4F-9037-D8E66B46EFB8}"/>
            </c:ext>
          </c:extLst>
        </c:ser>
        <c:ser>
          <c:idx val="3"/>
          <c:order val="1"/>
          <c:tx>
            <c:strRef>
              <c:f>'sprint planning'!$N$24</c:f>
              <c:strCache>
                <c:ptCount val="1"/>
                <c:pt idx="0">
                  <c:v>ideaal</c:v>
                </c:pt>
              </c:strCache>
            </c:strRef>
          </c:tx>
          <c:spPr>
            <a:ln>
              <a:solidFill>
                <a:srgbClr val="FF0000"/>
              </a:solidFill>
            </a:ln>
          </c:spPr>
          <c:marker>
            <c:symbol val="none"/>
          </c:marker>
          <c:cat>
            <c:numRef>
              <c:f>'sprint planning'!$J$25:$J$39</c:f>
              <c:numCache>
                <c:formatCode>General</c:formatCode>
                <c:ptCount val="15"/>
                <c:pt idx="0">
                  <c:v>0</c:v>
                </c:pt>
                <c:pt idx="1">
                  <c:v>1</c:v>
                </c:pt>
                <c:pt idx="2">
                  <c:v>2</c:v>
                </c:pt>
                <c:pt idx="3">
                  <c:v>3</c:v>
                </c:pt>
                <c:pt idx="4">
                  <c:v>4</c:v>
                </c:pt>
                <c:pt idx="5">
                  <c:v>5</c:v>
                </c:pt>
                <c:pt idx="6">
                  <c:v>6</c:v>
                </c:pt>
                <c:pt idx="7">
                  <c:v>0</c:v>
                </c:pt>
                <c:pt idx="8">
                  <c:v>0</c:v>
                </c:pt>
                <c:pt idx="9">
                  <c:v>0</c:v>
                </c:pt>
                <c:pt idx="10">
                  <c:v>0</c:v>
                </c:pt>
                <c:pt idx="11">
                  <c:v>0</c:v>
                </c:pt>
                <c:pt idx="12">
                  <c:v>0</c:v>
                </c:pt>
                <c:pt idx="13">
                  <c:v>0</c:v>
                </c:pt>
                <c:pt idx="14">
                  <c:v>0</c:v>
                </c:pt>
              </c:numCache>
            </c:numRef>
          </c:cat>
          <c:val>
            <c:numRef>
              <c:f>'sprint planning'!$N$25:$N$39</c:f>
              <c:numCache>
                <c:formatCode>0.0</c:formatCode>
                <c:ptCount val="15"/>
                <c:pt idx="0" formatCode="General">
                  <c:v>110</c:v>
                </c:pt>
                <c:pt idx="1">
                  <c:v>91.666666666666671</c:v>
                </c:pt>
                <c:pt idx="2">
                  <c:v>73.333333333333343</c:v>
                </c:pt>
                <c:pt idx="3">
                  <c:v>55</c:v>
                </c:pt>
                <c:pt idx="4">
                  <c:v>36.666666666666671</c:v>
                </c:pt>
                <c:pt idx="5">
                  <c:v>18.333333333333343</c:v>
                </c:pt>
                <c:pt idx="6">
                  <c:v>1.4210854715202004E-14</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5-5FA5-8A4F-9037-D8E66B46EFB8}"/>
            </c:ext>
          </c:extLst>
        </c:ser>
        <c:dLbls>
          <c:showLegendKey val="0"/>
          <c:showVal val="0"/>
          <c:showCatName val="0"/>
          <c:showSerName val="0"/>
          <c:showPercent val="0"/>
          <c:showBubbleSize val="0"/>
        </c:dLbls>
        <c:smooth val="0"/>
        <c:axId val="1670791087"/>
        <c:axId val="1731250623"/>
      </c:lineChart>
      <c:catAx>
        <c:axId val="1670791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731250623"/>
        <c:crosses val="autoZero"/>
        <c:auto val="1"/>
        <c:lblAlgn val="ctr"/>
        <c:lblOffset val="100"/>
        <c:noMultiLvlLbl val="0"/>
      </c:catAx>
      <c:valAx>
        <c:axId val="1731250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670791087"/>
        <c:crosses val="autoZero"/>
        <c:crossBetween val="between"/>
      </c:valAx>
    </c:plotArea>
    <c:plotVisOnly val="1"/>
    <c:dispBlanksAs val="gap"/>
    <c:showDLblsOverMax val="0"/>
    <c:extLst/>
  </c:chart>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558800</xdr:colOff>
      <xdr:row>0</xdr:row>
      <xdr:rowOff>152400</xdr:rowOff>
    </xdr:from>
    <xdr:to>
      <xdr:col>13</xdr:col>
      <xdr:colOff>749300</xdr:colOff>
      <xdr:row>1</xdr:row>
      <xdr:rowOff>127000</xdr:rowOff>
    </xdr:to>
    <xdr:pic>
      <xdr:nvPicPr>
        <xdr:cNvPr id="2" name="Afbeelding 1">
          <a:extLst>
            <a:ext uri="{FF2B5EF4-FFF2-40B4-BE49-F238E27FC236}">
              <a16:creationId xmlns:a16="http://schemas.microsoft.com/office/drawing/2014/main" id="{73967FD9-7ACE-A5FF-F742-D7BD448AE6A5}"/>
            </a:ext>
          </a:extLst>
        </xdr:cNvPr>
        <xdr:cNvPicPr>
          <a:picLocks noChangeAspect="1"/>
        </xdr:cNvPicPr>
      </xdr:nvPicPr>
      <xdr:blipFill>
        <a:blip xmlns:r="http://schemas.openxmlformats.org/officeDocument/2006/relationships" r:embed="rId1"/>
        <a:stretch>
          <a:fillRect/>
        </a:stretch>
      </xdr:blipFill>
      <xdr:spPr>
        <a:xfrm>
          <a:off x="7861300" y="152400"/>
          <a:ext cx="1841500" cy="27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368300</xdr:colOff>
      <xdr:row>0</xdr:row>
      <xdr:rowOff>215900</xdr:rowOff>
    </xdr:from>
    <xdr:to>
      <xdr:col>6</xdr:col>
      <xdr:colOff>1104900</xdr:colOff>
      <xdr:row>2</xdr:row>
      <xdr:rowOff>25400</xdr:rowOff>
    </xdr:to>
    <xdr:pic>
      <xdr:nvPicPr>
        <xdr:cNvPr id="2" name="Afbeelding 1">
          <a:extLst>
            <a:ext uri="{FF2B5EF4-FFF2-40B4-BE49-F238E27FC236}">
              <a16:creationId xmlns:a16="http://schemas.microsoft.com/office/drawing/2014/main" id="{CE333E00-2E89-D87B-06BF-7F01E21696CA}"/>
            </a:ext>
          </a:extLst>
        </xdr:cNvPr>
        <xdr:cNvPicPr>
          <a:picLocks noChangeAspect="1"/>
        </xdr:cNvPicPr>
      </xdr:nvPicPr>
      <xdr:blipFill>
        <a:blip xmlns:r="http://schemas.openxmlformats.org/officeDocument/2006/relationships" r:embed="rId1"/>
        <a:stretch>
          <a:fillRect/>
        </a:stretch>
      </xdr:blipFill>
      <xdr:spPr>
        <a:xfrm>
          <a:off x="6235700" y="215900"/>
          <a:ext cx="1841500" cy="279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279400</xdr:colOff>
      <xdr:row>1</xdr:row>
      <xdr:rowOff>114300</xdr:rowOff>
    </xdr:from>
    <xdr:to>
      <xdr:col>5</xdr:col>
      <xdr:colOff>723900</xdr:colOff>
      <xdr:row>15</xdr:row>
      <xdr:rowOff>12700</xdr:rowOff>
    </xdr:to>
    <xdr:graphicFrame macro="">
      <xdr:nvGraphicFramePr>
        <xdr:cNvPr id="3" name="Grafiek 2">
          <a:extLst>
            <a:ext uri="{FF2B5EF4-FFF2-40B4-BE49-F238E27FC236}">
              <a16:creationId xmlns:a16="http://schemas.microsoft.com/office/drawing/2014/main" id="{83F63257-71A2-A54F-95B5-0DC904285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355600</xdr:colOff>
      <xdr:row>1</xdr:row>
      <xdr:rowOff>114300</xdr:rowOff>
    </xdr:from>
    <xdr:to>
      <xdr:col>11</xdr:col>
      <xdr:colOff>800100</xdr:colOff>
      <xdr:row>15</xdr:row>
      <xdr:rowOff>12700</xdr:rowOff>
    </xdr:to>
    <xdr:graphicFrame macro="">
      <xdr:nvGraphicFramePr>
        <xdr:cNvPr id="4" name="Grafiek 3">
          <a:extLst>
            <a:ext uri="{FF2B5EF4-FFF2-40B4-BE49-F238E27FC236}">
              <a16:creationId xmlns:a16="http://schemas.microsoft.com/office/drawing/2014/main" id="{8B983FE0-AC1E-E641-AE26-870CDE867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387350</xdr:colOff>
      <xdr:row>1</xdr:row>
      <xdr:rowOff>82550</xdr:rowOff>
    </xdr:from>
    <xdr:to>
      <xdr:col>18</xdr:col>
      <xdr:colOff>6350</xdr:colOff>
      <xdr:row>14</xdr:row>
      <xdr:rowOff>184150</xdr:rowOff>
    </xdr:to>
    <xdr:graphicFrame macro="">
      <xdr:nvGraphicFramePr>
        <xdr:cNvPr id="5" name="Grafiek 4">
          <a:extLst>
            <a:ext uri="{FF2B5EF4-FFF2-40B4-BE49-F238E27FC236}">
              <a16:creationId xmlns:a16="http://schemas.microsoft.com/office/drawing/2014/main" id="{2E9FA5FA-8281-62E6-CE96-8BB7CF247B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317500</xdr:colOff>
      <xdr:row>17</xdr:row>
      <xdr:rowOff>12700</xdr:rowOff>
    </xdr:from>
    <xdr:to>
      <xdr:col>11</xdr:col>
      <xdr:colOff>762000</xdr:colOff>
      <xdr:row>30</xdr:row>
      <xdr:rowOff>114300</xdr:rowOff>
    </xdr:to>
    <xdr:graphicFrame macro="">
      <xdr:nvGraphicFramePr>
        <xdr:cNvPr id="6" name="Grafiek 5">
          <a:extLst>
            <a:ext uri="{FF2B5EF4-FFF2-40B4-BE49-F238E27FC236}">
              <a16:creationId xmlns:a16="http://schemas.microsoft.com/office/drawing/2014/main" id="{A016C25B-123D-6C43-81EC-209020D3D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419100</xdr:colOff>
      <xdr:row>17</xdr:row>
      <xdr:rowOff>0</xdr:rowOff>
    </xdr:from>
    <xdr:to>
      <xdr:col>18</xdr:col>
      <xdr:colOff>38100</xdr:colOff>
      <xdr:row>30</xdr:row>
      <xdr:rowOff>101600</xdr:rowOff>
    </xdr:to>
    <xdr:graphicFrame macro="">
      <xdr:nvGraphicFramePr>
        <xdr:cNvPr id="7" name="Grafiek 6">
          <a:extLst>
            <a:ext uri="{FF2B5EF4-FFF2-40B4-BE49-F238E27FC236}">
              <a16:creationId xmlns:a16="http://schemas.microsoft.com/office/drawing/2014/main" id="{6BF2EFFD-613C-E841-9FCD-37F07EB06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317500</xdr:colOff>
      <xdr:row>16</xdr:row>
      <xdr:rowOff>139700</xdr:rowOff>
    </xdr:from>
    <xdr:to>
      <xdr:col>2</xdr:col>
      <xdr:colOff>508000</xdr:colOff>
      <xdr:row>18</xdr:row>
      <xdr:rowOff>12700</xdr:rowOff>
    </xdr:to>
    <xdr:pic>
      <xdr:nvPicPr>
        <xdr:cNvPr id="2" name="Afbeelding 1">
          <a:extLst>
            <a:ext uri="{FF2B5EF4-FFF2-40B4-BE49-F238E27FC236}">
              <a16:creationId xmlns:a16="http://schemas.microsoft.com/office/drawing/2014/main" id="{FCC41FBF-CBD8-96E9-6964-2166CD38C822}"/>
            </a:ext>
          </a:extLst>
        </xdr:cNvPr>
        <xdr:cNvPicPr>
          <a:picLocks noChangeAspect="1"/>
        </xdr:cNvPicPr>
      </xdr:nvPicPr>
      <xdr:blipFill>
        <a:blip xmlns:r="http://schemas.openxmlformats.org/officeDocument/2006/relationships" r:embed="rId6"/>
        <a:stretch>
          <a:fillRect/>
        </a:stretch>
      </xdr:blipFill>
      <xdr:spPr>
        <a:xfrm>
          <a:off x="317500" y="3390900"/>
          <a:ext cx="1841500" cy="279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177800</xdr:colOff>
      <xdr:row>52</xdr:row>
      <xdr:rowOff>0</xdr:rowOff>
    </xdr:from>
    <xdr:to>
      <xdr:col>12</xdr:col>
      <xdr:colOff>520700</xdr:colOff>
      <xdr:row>96</xdr:row>
      <xdr:rowOff>71876</xdr:rowOff>
    </xdr:to>
    <xdr:pic>
      <xdr:nvPicPr>
        <xdr:cNvPr id="2" name="Afbeelding 1">
          <a:extLst>
            <a:ext uri="{FF2B5EF4-FFF2-40B4-BE49-F238E27FC236}">
              <a16:creationId xmlns:a16="http://schemas.microsoft.com/office/drawing/2014/main" id="{B23ED6CE-D9B8-DDDD-5808-FBBCB4B1F9CA}"/>
            </a:ext>
          </a:extLst>
        </xdr:cNvPr>
        <xdr:cNvPicPr>
          <a:picLocks noChangeAspect="1"/>
        </xdr:cNvPicPr>
      </xdr:nvPicPr>
      <xdr:blipFill>
        <a:blip xmlns:r="http://schemas.openxmlformats.org/officeDocument/2006/relationships" r:embed="rId1"/>
        <a:stretch>
          <a:fillRect/>
        </a:stretch>
      </xdr:blipFill>
      <xdr:spPr>
        <a:xfrm>
          <a:off x="2654300" y="10668000"/>
          <a:ext cx="7772400" cy="9012676"/>
        </a:xfrm>
        <a:prstGeom prst="rect">
          <a:avLst/>
        </a:prstGeom>
      </xdr:spPr>
    </xdr:pic>
    <xdr:clientData/>
  </xdr:twoCellAnchor>
  <xdr:twoCellAnchor editAs="oneCell">
    <xdr:from>
      <xdr:col>3</xdr:col>
      <xdr:colOff>228600</xdr:colOff>
      <xdr:row>11</xdr:row>
      <xdr:rowOff>114300</xdr:rowOff>
    </xdr:from>
    <xdr:to>
      <xdr:col>12</xdr:col>
      <xdr:colOff>571500</xdr:colOff>
      <xdr:row>44</xdr:row>
      <xdr:rowOff>152400</xdr:rowOff>
    </xdr:to>
    <xdr:pic>
      <xdr:nvPicPr>
        <xdr:cNvPr id="3" name="Afbeelding 2">
          <a:extLst>
            <a:ext uri="{FF2B5EF4-FFF2-40B4-BE49-F238E27FC236}">
              <a16:creationId xmlns:a16="http://schemas.microsoft.com/office/drawing/2014/main" id="{636D5374-C3B5-639D-5FC9-F1CA6768248F}"/>
            </a:ext>
          </a:extLst>
        </xdr:cNvPr>
        <xdr:cNvPicPr>
          <a:picLocks noChangeAspect="1"/>
        </xdr:cNvPicPr>
      </xdr:nvPicPr>
      <xdr:blipFill>
        <a:blip xmlns:r="http://schemas.openxmlformats.org/officeDocument/2006/relationships" r:embed="rId2"/>
        <a:stretch>
          <a:fillRect/>
        </a:stretch>
      </xdr:blipFill>
      <xdr:spPr>
        <a:xfrm>
          <a:off x="2705100" y="2451100"/>
          <a:ext cx="7772400" cy="6743700"/>
        </a:xfrm>
        <a:prstGeom prst="rect">
          <a:avLst/>
        </a:prstGeom>
      </xdr:spPr>
    </xdr:pic>
    <xdr:clientData/>
  </xdr:twoCellAnchor>
  <xdr:twoCellAnchor editAs="oneCell">
    <xdr:from>
      <xdr:col>3</xdr:col>
      <xdr:colOff>127000</xdr:colOff>
      <xdr:row>104</xdr:row>
      <xdr:rowOff>88900</xdr:rowOff>
    </xdr:from>
    <xdr:to>
      <xdr:col>12</xdr:col>
      <xdr:colOff>469900</xdr:colOff>
      <xdr:row>122</xdr:row>
      <xdr:rowOff>107689</xdr:rowOff>
    </xdr:to>
    <xdr:pic>
      <xdr:nvPicPr>
        <xdr:cNvPr id="5" name="Afbeelding 4">
          <a:extLst>
            <a:ext uri="{FF2B5EF4-FFF2-40B4-BE49-F238E27FC236}">
              <a16:creationId xmlns:a16="http://schemas.microsoft.com/office/drawing/2014/main" id="{BAD97500-BF8C-E1C2-F314-273AB4564D0F}"/>
            </a:ext>
          </a:extLst>
        </xdr:cNvPr>
        <xdr:cNvPicPr>
          <a:picLocks noChangeAspect="1"/>
        </xdr:cNvPicPr>
      </xdr:nvPicPr>
      <xdr:blipFill>
        <a:blip xmlns:r="http://schemas.openxmlformats.org/officeDocument/2006/relationships" r:embed="rId3"/>
        <a:stretch>
          <a:fillRect/>
        </a:stretch>
      </xdr:blipFill>
      <xdr:spPr>
        <a:xfrm>
          <a:off x="2603500" y="21323300"/>
          <a:ext cx="7772400" cy="3676389"/>
        </a:xfrm>
        <a:prstGeom prst="rect">
          <a:avLst/>
        </a:prstGeom>
      </xdr:spPr>
    </xdr:pic>
    <xdr:clientData/>
  </xdr:twoCellAnchor>
  <xdr:twoCellAnchor>
    <xdr:from>
      <xdr:col>0</xdr:col>
      <xdr:colOff>304800</xdr:colOff>
      <xdr:row>17</xdr:row>
      <xdr:rowOff>38100</xdr:rowOff>
    </xdr:from>
    <xdr:to>
      <xdr:col>2</xdr:col>
      <xdr:colOff>736600</xdr:colOff>
      <xdr:row>21</xdr:row>
      <xdr:rowOff>12700</xdr:rowOff>
    </xdr:to>
    <xdr:sp macro="" textlink="">
      <xdr:nvSpPr>
        <xdr:cNvPr id="6" name="Ovaal 5">
          <a:extLst>
            <a:ext uri="{FF2B5EF4-FFF2-40B4-BE49-F238E27FC236}">
              <a16:creationId xmlns:a16="http://schemas.microsoft.com/office/drawing/2014/main" id="{35E32C1F-C578-731B-B697-736C0FFC2260}"/>
            </a:ext>
          </a:extLst>
        </xdr:cNvPr>
        <xdr:cNvSpPr/>
      </xdr:nvSpPr>
      <xdr:spPr>
        <a:xfrm>
          <a:off x="304800" y="3594100"/>
          <a:ext cx="2082800" cy="787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Vul</a:t>
          </a:r>
          <a:r>
            <a:rPr lang="nl-NL" sz="1100" baseline="0"/>
            <a:t> de data in van de dagen in de sprint.</a:t>
          </a:r>
          <a:endParaRPr lang="nl-NL" sz="1100"/>
        </a:p>
      </xdr:txBody>
    </xdr:sp>
    <xdr:clientData/>
  </xdr:twoCellAnchor>
  <xdr:twoCellAnchor>
    <xdr:from>
      <xdr:col>0</xdr:col>
      <xdr:colOff>381000</xdr:colOff>
      <xdr:row>11</xdr:row>
      <xdr:rowOff>139700</xdr:rowOff>
    </xdr:from>
    <xdr:to>
      <xdr:col>3</xdr:col>
      <xdr:colOff>88900</xdr:colOff>
      <xdr:row>14</xdr:row>
      <xdr:rowOff>114300</xdr:rowOff>
    </xdr:to>
    <xdr:sp macro="" textlink="">
      <xdr:nvSpPr>
        <xdr:cNvPr id="7" name="Afgeronde rechthoek 6">
          <a:extLst>
            <a:ext uri="{FF2B5EF4-FFF2-40B4-BE49-F238E27FC236}">
              <a16:creationId xmlns:a16="http://schemas.microsoft.com/office/drawing/2014/main" id="{DFCF165F-0EFE-FFFC-443A-E3B422D45CF2}"/>
            </a:ext>
          </a:extLst>
        </xdr:cNvPr>
        <xdr:cNvSpPr/>
      </xdr:nvSpPr>
      <xdr:spPr>
        <a:xfrm>
          <a:off x="381000" y="2476500"/>
          <a:ext cx="2184400" cy="5842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lang="nl-NL" sz="1100"/>
            <a:t>Tabblad: sprint</a:t>
          </a:r>
          <a:r>
            <a:rPr lang="nl-NL" sz="1100" baseline="0"/>
            <a:t> planning</a:t>
          </a:r>
          <a:endParaRPr lang="nl-NL" sz="1100"/>
        </a:p>
      </xdr:txBody>
    </xdr:sp>
    <xdr:clientData/>
  </xdr:twoCellAnchor>
  <xdr:twoCellAnchor>
    <xdr:from>
      <xdr:col>2</xdr:col>
      <xdr:colOff>546100</xdr:colOff>
      <xdr:row>18</xdr:row>
      <xdr:rowOff>38100</xdr:rowOff>
    </xdr:from>
    <xdr:to>
      <xdr:col>3</xdr:col>
      <xdr:colOff>673100</xdr:colOff>
      <xdr:row>18</xdr:row>
      <xdr:rowOff>190500</xdr:rowOff>
    </xdr:to>
    <xdr:cxnSp macro="">
      <xdr:nvCxnSpPr>
        <xdr:cNvPr id="9" name="Rechte verbindingslijn met pijl 8">
          <a:extLst>
            <a:ext uri="{FF2B5EF4-FFF2-40B4-BE49-F238E27FC236}">
              <a16:creationId xmlns:a16="http://schemas.microsoft.com/office/drawing/2014/main" id="{ED46D4EB-8F23-2D5A-EC8F-3B3FF559A28C}"/>
            </a:ext>
          </a:extLst>
        </xdr:cNvPr>
        <xdr:cNvCxnSpPr/>
      </xdr:nvCxnSpPr>
      <xdr:spPr>
        <a:xfrm flipV="1">
          <a:off x="2197100" y="3797300"/>
          <a:ext cx="952500" cy="1524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520700</xdr:colOff>
      <xdr:row>17</xdr:row>
      <xdr:rowOff>114300</xdr:rowOff>
    </xdr:from>
    <xdr:to>
      <xdr:col>8</xdr:col>
      <xdr:colOff>546100</xdr:colOff>
      <xdr:row>19</xdr:row>
      <xdr:rowOff>114300</xdr:rowOff>
    </xdr:to>
    <xdr:cxnSp macro="">
      <xdr:nvCxnSpPr>
        <xdr:cNvPr id="10" name="Rechte verbindingslijn met pijl 9">
          <a:extLst>
            <a:ext uri="{FF2B5EF4-FFF2-40B4-BE49-F238E27FC236}">
              <a16:creationId xmlns:a16="http://schemas.microsoft.com/office/drawing/2014/main" id="{0C08A5C2-5A66-6547-9341-2684C42FDF31}"/>
            </a:ext>
          </a:extLst>
        </xdr:cNvPr>
        <xdr:cNvCxnSpPr/>
      </xdr:nvCxnSpPr>
      <xdr:spPr>
        <a:xfrm flipV="1">
          <a:off x="2171700" y="3670300"/>
          <a:ext cx="4978400" cy="4064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508000</xdr:colOff>
      <xdr:row>20</xdr:row>
      <xdr:rowOff>0</xdr:rowOff>
    </xdr:from>
    <xdr:to>
      <xdr:col>3</xdr:col>
      <xdr:colOff>609600</xdr:colOff>
      <xdr:row>31</xdr:row>
      <xdr:rowOff>177800</xdr:rowOff>
    </xdr:to>
    <xdr:cxnSp macro="">
      <xdr:nvCxnSpPr>
        <xdr:cNvPr id="13" name="Rechte verbindingslijn met pijl 12">
          <a:extLst>
            <a:ext uri="{FF2B5EF4-FFF2-40B4-BE49-F238E27FC236}">
              <a16:creationId xmlns:a16="http://schemas.microsoft.com/office/drawing/2014/main" id="{8184E968-10BB-244F-9AE7-95CBA2199EE5}"/>
            </a:ext>
          </a:extLst>
        </xdr:cNvPr>
        <xdr:cNvCxnSpPr/>
      </xdr:nvCxnSpPr>
      <xdr:spPr>
        <a:xfrm>
          <a:off x="2159000" y="4165600"/>
          <a:ext cx="927100" cy="24130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558800</xdr:colOff>
      <xdr:row>19</xdr:row>
      <xdr:rowOff>165100</xdr:rowOff>
    </xdr:from>
    <xdr:to>
      <xdr:col>8</xdr:col>
      <xdr:colOff>558800</xdr:colOff>
      <xdr:row>31</xdr:row>
      <xdr:rowOff>0</xdr:rowOff>
    </xdr:to>
    <xdr:cxnSp macro="">
      <xdr:nvCxnSpPr>
        <xdr:cNvPr id="16" name="Rechte verbindingslijn met pijl 15">
          <a:extLst>
            <a:ext uri="{FF2B5EF4-FFF2-40B4-BE49-F238E27FC236}">
              <a16:creationId xmlns:a16="http://schemas.microsoft.com/office/drawing/2014/main" id="{F36FDA62-D1DD-A245-AEF0-1FC7ED178EE7}"/>
            </a:ext>
          </a:extLst>
        </xdr:cNvPr>
        <xdr:cNvCxnSpPr/>
      </xdr:nvCxnSpPr>
      <xdr:spPr>
        <a:xfrm>
          <a:off x="2209800" y="4127500"/>
          <a:ext cx="4953000" cy="22733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127000</xdr:colOff>
      <xdr:row>6</xdr:row>
      <xdr:rowOff>12700</xdr:rowOff>
    </xdr:from>
    <xdr:to>
      <xdr:col>8</xdr:col>
      <xdr:colOff>152400</xdr:colOff>
      <xdr:row>10</xdr:row>
      <xdr:rowOff>101600</xdr:rowOff>
    </xdr:to>
    <xdr:sp macro="" textlink="">
      <xdr:nvSpPr>
        <xdr:cNvPr id="19" name="Ovaal 18">
          <a:extLst>
            <a:ext uri="{FF2B5EF4-FFF2-40B4-BE49-F238E27FC236}">
              <a16:creationId xmlns:a16="http://schemas.microsoft.com/office/drawing/2014/main" id="{064DAA98-318B-2C4E-B940-2291B4CB6AC9}"/>
            </a:ext>
          </a:extLst>
        </xdr:cNvPr>
        <xdr:cNvSpPr/>
      </xdr:nvSpPr>
      <xdr:spPr>
        <a:xfrm>
          <a:off x="4254500" y="1333500"/>
          <a:ext cx="2501900" cy="9017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Vul aan het eind van de dag in hoeveel punten in</a:t>
          </a:r>
          <a:r>
            <a:rPr lang="nl-NL" sz="1100" baseline="0"/>
            <a:t> totaal op die dag zijn weggewerkt.</a:t>
          </a:r>
          <a:endParaRPr lang="nl-NL" sz="1100"/>
        </a:p>
      </xdr:txBody>
    </xdr:sp>
    <xdr:clientData/>
  </xdr:twoCellAnchor>
  <xdr:twoCellAnchor>
    <xdr:from>
      <xdr:col>5</xdr:col>
      <xdr:colOff>266700</xdr:colOff>
      <xdr:row>10</xdr:row>
      <xdr:rowOff>0</xdr:rowOff>
    </xdr:from>
    <xdr:to>
      <xdr:col>6</xdr:col>
      <xdr:colOff>355600</xdr:colOff>
      <xdr:row>16</xdr:row>
      <xdr:rowOff>127000</xdr:rowOff>
    </xdr:to>
    <xdr:cxnSp macro="">
      <xdr:nvCxnSpPr>
        <xdr:cNvPr id="20" name="Rechte verbindingslijn met pijl 19">
          <a:extLst>
            <a:ext uri="{FF2B5EF4-FFF2-40B4-BE49-F238E27FC236}">
              <a16:creationId xmlns:a16="http://schemas.microsoft.com/office/drawing/2014/main" id="{66683500-12AB-E84B-8475-1F119DE0BCE5}"/>
            </a:ext>
          </a:extLst>
        </xdr:cNvPr>
        <xdr:cNvCxnSpPr/>
      </xdr:nvCxnSpPr>
      <xdr:spPr>
        <a:xfrm flipH="1">
          <a:off x="4394200" y="2133600"/>
          <a:ext cx="914400" cy="13462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609600</xdr:colOff>
      <xdr:row>9</xdr:row>
      <xdr:rowOff>190500</xdr:rowOff>
    </xdr:from>
    <xdr:to>
      <xdr:col>10</xdr:col>
      <xdr:colOff>88900</xdr:colOff>
      <xdr:row>16</xdr:row>
      <xdr:rowOff>114300</xdr:rowOff>
    </xdr:to>
    <xdr:cxnSp macro="">
      <xdr:nvCxnSpPr>
        <xdr:cNvPr id="23" name="Rechte verbindingslijn met pijl 22">
          <a:extLst>
            <a:ext uri="{FF2B5EF4-FFF2-40B4-BE49-F238E27FC236}">
              <a16:creationId xmlns:a16="http://schemas.microsoft.com/office/drawing/2014/main" id="{B49EC1A7-7A14-AF47-8A08-A650569CA32B}"/>
            </a:ext>
          </a:extLst>
        </xdr:cNvPr>
        <xdr:cNvCxnSpPr/>
      </xdr:nvCxnSpPr>
      <xdr:spPr>
        <a:xfrm>
          <a:off x="5562600" y="2120900"/>
          <a:ext cx="2781300" cy="13462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304800</xdr:colOff>
      <xdr:row>51</xdr:row>
      <xdr:rowOff>177800</xdr:rowOff>
    </xdr:from>
    <xdr:to>
      <xdr:col>3</xdr:col>
      <xdr:colOff>12700</xdr:colOff>
      <xdr:row>54</xdr:row>
      <xdr:rowOff>152400</xdr:rowOff>
    </xdr:to>
    <xdr:sp macro="" textlink="">
      <xdr:nvSpPr>
        <xdr:cNvPr id="28" name="Afgeronde rechthoek 27">
          <a:extLst>
            <a:ext uri="{FF2B5EF4-FFF2-40B4-BE49-F238E27FC236}">
              <a16:creationId xmlns:a16="http://schemas.microsoft.com/office/drawing/2014/main" id="{6E99313D-2683-B44C-B758-93282990A419}"/>
            </a:ext>
          </a:extLst>
        </xdr:cNvPr>
        <xdr:cNvSpPr/>
      </xdr:nvSpPr>
      <xdr:spPr>
        <a:xfrm>
          <a:off x="304800" y="10642600"/>
          <a:ext cx="2184400" cy="5842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lang="nl-NL" sz="1100"/>
            <a:t>Tabblad: punten</a:t>
          </a:r>
          <a:r>
            <a:rPr lang="nl-NL" sz="1100" baseline="0"/>
            <a:t> planning</a:t>
          </a:r>
          <a:endParaRPr lang="nl-NL" sz="1100"/>
        </a:p>
      </xdr:txBody>
    </xdr:sp>
    <xdr:clientData/>
  </xdr:twoCellAnchor>
  <xdr:twoCellAnchor>
    <xdr:from>
      <xdr:col>0</xdr:col>
      <xdr:colOff>266700</xdr:colOff>
      <xdr:row>58</xdr:row>
      <xdr:rowOff>88900</xdr:rowOff>
    </xdr:from>
    <xdr:to>
      <xdr:col>3</xdr:col>
      <xdr:colOff>546100</xdr:colOff>
      <xdr:row>65</xdr:row>
      <xdr:rowOff>25400</xdr:rowOff>
    </xdr:to>
    <xdr:sp macro="" textlink="">
      <xdr:nvSpPr>
        <xdr:cNvPr id="29" name="Ovaal 28">
          <a:extLst>
            <a:ext uri="{FF2B5EF4-FFF2-40B4-BE49-F238E27FC236}">
              <a16:creationId xmlns:a16="http://schemas.microsoft.com/office/drawing/2014/main" id="{BE730DF8-71DD-A54F-9E21-4AC8DDE0835B}"/>
            </a:ext>
          </a:extLst>
        </xdr:cNvPr>
        <xdr:cNvSpPr/>
      </xdr:nvSpPr>
      <xdr:spPr>
        <a:xfrm>
          <a:off x="266700" y="11976100"/>
          <a:ext cx="2755900" cy="13589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Vul</a:t>
          </a:r>
          <a:r>
            <a:rPr lang="nl-NL" sz="1100" baseline="0"/>
            <a:t> hier in hoe lang de periode duurt en hoeveel werkdagen de werkweek heeft. Bepaal met je team of je evt. BPV-dagen meetelt of niet.</a:t>
          </a:r>
          <a:endParaRPr lang="nl-NL" sz="1100"/>
        </a:p>
      </xdr:txBody>
    </xdr:sp>
    <xdr:clientData/>
  </xdr:twoCellAnchor>
  <xdr:twoCellAnchor>
    <xdr:from>
      <xdr:col>6</xdr:col>
      <xdr:colOff>114300</xdr:colOff>
      <xdr:row>55</xdr:row>
      <xdr:rowOff>152400</xdr:rowOff>
    </xdr:from>
    <xdr:to>
      <xdr:col>7</xdr:col>
      <xdr:colOff>660400</xdr:colOff>
      <xdr:row>56</xdr:row>
      <xdr:rowOff>0</xdr:rowOff>
    </xdr:to>
    <xdr:cxnSp macro="">
      <xdr:nvCxnSpPr>
        <xdr:cNvPr id="30" name="Rechte verbindingslijn met pijl 29">
          <a:extLst>
            <a:ext uri="{FF2B5EF4-FFF2-40B4-BE49-F238E27FC236}">
              <a16:creationId xmlns:a16="http://schemas.microsoft.com/office/drawing/2014/main" id="{54E4CD07-7B8E-0B44-BC1B-505A3E4B3992}"/>
            </a:ext>
          </a:extLst>
        </xdr:cNvPr>
        <xdr:cNvCxnSpPr/>
      </xdr:nvCxnSpPr>
      <xdr:spPr>
        <a:xfrm flipH="1" flipV="1">
          <a:off x="5067300" y="11430000"/>
          <a:ext cx="1371600" cy="50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304800</xdr:colOff>
      <xdr:row>54</xdr:row>
      <xdr:rowOff>12700</xdr:rowOff>
    </xdr:from>
    <xdr:to>
      <xdr:col>10</xdr:col>
      <xdr:colOff>457200</xdr:colOff>
      <xdr:row>58</xdr:row>
      <xdr:rowOff>76200</xdr:rowOff>
    </xdr:to>
    <xdr:sp macro="" textlink="">
      <xdr:nvSpPr>
        <xdr:cNvPr id="33" name="Ovaal 32">
          <a:extLst>
            <a:ext uri="{FF2B5EF4-FFF2-40B4-BE49-F238E27FC236}">
              <a16:creationId xmlns:a16="http://schemas.microsoft.com/office/drawing/2014/main" id="{9CFCEE4B-79AC-684C-99CC-BFE826F28508}"/>
            </a:ext>
          </a:extLst>
        </xdr:cNvPr>
        <xdr:cNvSpPr/>
      </xdr:nvSpPr>
      <xdr:spPr>
        <a:xfrm>
          <a:off x="6083300" y="11087100"/>
          <a:ext cx="2628900" cy="876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Vul hier jullie teamnaam of -nummer</a:t>
          </a:r>
          <a:r>
            <a:rPr lang="nl-NL" sz="1100" baseline="0"/>
            <a:t> en jullie namen, opleiding en niveau in.</a:t>
          </a:r>
          <a:endParaRPr lang="nl-NL" sz="1100"/>
        </a:p>
      </xdr:txBody>
    </xdr:sp>
    <xdr:clientData/>
  </xdr:twoCellAnchor>
  <xdr:twoCellAnchor>
    <xdr:from>
      <xdr:col>3</xdr:col>
      <xdr:colOff>203200</xdr:colOff>
      <xdr:row>60</xdr:row>
      <xdr:rowOff>76200</xdr:rowOff>
    </xdr:from>
    <xdr:to>
      <xdr:col>5</xdr:col>
      <xdr:colOff>685800</xdr:colOff>
      <xdr:row>62</xdr:row>
      <xdr:rowOff>0</xdr:rowOff>
    </xdr:to>
    <xdr:cxnSp macro="">
      <xdr:nvCxnSpPr>
        <xdr:cNvPr id="35" name="Rechte verbindingslijn met pijl 34">
          <a:extLst>
            <a:ext uri="{FF2B5EF4-FFF2-40B4-BE49-F238E27FC236}">
              <a16:creationId xmlns:a16="http://schemas.microsoft.com/office/drawing/2014/main" id="{98E717AE-3170-5F48-A087-0DF18E540AB0}"/>
            </a:ext>
          </a:extLst>
        </xdr:cNvPr>
        <xdr:cNvCxnSpPr/>
      </xdr:nvCxnSpPr>
      <xdr:spPr>
        <a:xfrm flipV="1">
          <a:off x="2679700" y="12369800"/>
          <a:ext cx="2133600" cy="3302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241300</xdr:colOff>
      <xdr:row>68</xdr:row>
      <xdr:rowOff>152400</xdr:rowOff>
    </xdr:from>
    <xdr:to>
      <xdr:col>3</xdr:col>
      <xdr:colOff>114300</xdr:colOff>
      <xdr:row>73</xdr:row>
      <xdr:rowOff>38100</xdr:rowOff>
    </xdr:to>
    <xdr:sp macro="" textlink="">
      <xdr:nvSpPr>
        <xdr:cNvPr id="39" name="Ovaal 38">
          <a:extLst>
            <a:ext uri="{FF2B5EF4-FFF2-40B4-BE49-F238E27FC236}">
              <a16:creationId xmlns:a16="http://schemas.microsoft.com/office/drawing/2014/main" id="{223C5E2A-AFFD-B041-8F43-14F8CC35C7E1}"/>
            </a:ext>
          </a:extLst>
        </xdr:cNvPr>
        <xdr:cNvSpPr/>
      </xdr:nvSpPr>
      <xdr:spPr>
        <a:xfrm>
          <a:off x="241300" y="14071600"/>
          <a:ext cx="2349500" cy="9017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Noteer hier alle taken voor deze periode. Iedere taak op een eigen</a:t>
          </a:r>
          <a:r>
            <a:rPr lang="nl-NL" sz="1100" baseline="0"/>
            <a:t> regel.</a:t>
          </a:r>
          <a:endParaRPr lang="nl-NL" sz="1100"/>
        </a:p>
      </xdr:txBody>
    </xdr:sp>
    <xdr:clientData/>
  </xdr:twoCellAnchor>
  <xdr:twoCellAnchor>
    <xdr:from>
      <xdr:col>2</xdr:col>
      <xdr:colOff>647700</xdr:colOff>
      <xdr:row>69</xdr:row>
      <xdr:rowOff>127000</xdr:rowOff>
    </xdr:from>
    <xdr:to>
      <xdr:col>4</xdr:col>
      <xdr:colOff>431800</xdr:colOff>
      <xdr:row>70</xdr:row>
      <xdr:rowOff>152400</xdr:rowOff>
    </xdr:to>
    <xdr:cxnSp macro="">
      <xdr:nvCxnSpPr>
        <xdr:cNvPr id="40" name="Rechte verbindingslijn met pijl 39">
          <a:extLst>
            <a:ext uri="{FF2B5EF4-FFF2-40B4-BE49-F238E27FC236}">
              <a16:creationId xmlns:a16="http://schemas.microsoft.com/office/drawing/2014/main" id="{80502D8B-F05B-7141-80C8-86C73A09B8F2}"/>
            </a:ext>
          </a:extLst>
        </xdr:cNvPr>
        <xdr:cNvCxnSpPr/>
      </xdr:nvCxnSpPr>
      <xdr:spPr>
        <a:xfrm flipV="1">
          <a:off x="2298700" y="14249400"/>
          <a:ext cx="1435100" cy="2286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203200</xdr:colOff>
      <xdr:row>68</xdr:row>
      <xdr:rowOff>101600</xdr:rowOff>
    </xdr:from>
    <xdr:to>
      <xdr:col>6</xdr:col>
      <xdr:colOff>12700</xdr:colOff>
      <xdr:row>76</xdr:row>
      <xdr:rowOff>190500</xdr:rowOff>
    </xdr:to>
    <xdr:cxnSp macro="">
      <xdr:nvCxnSpPr>
        <xdr:cNvPr id="42" name="Rechte verbindingslijn met pijl 41">
          <a:extLst>
            <a:ext uri="{FF2B5EF4-FFF2-40B4-BE49-F238E27FC236}">
              <a16:creationId xmlns:a16="http://schemas.microsoft.com/office/drawing/2014/main" id="{CF5D98E3-A62D-6248-B68D-7B7EBA0F78CC}"/>
            </a:ext>
          </a:extLst>
        </xdr:cNvPr>
        <xdr:cNvCxnSpPr/>
      </xdr:nvCxnSpPr>
      <xdr:spPr>
        <a:xfrm flipV="1">
          <a:off x="2679700" y="14020800"/>
          <a:ext cx="2286000" cy="17145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444500</xdr:colOff>
      <xdr:row>74</xdr:row>
      <xdr:rowOff>177800</xdr:rowOff>
    </xdr:from>
    <xdr:to>
      <xdr:col>3</xdr:col>
      <xdr:colOff>596900</xdr:colOff>
      <xdr:row>80</xdr:row>
      <xdr:rowOff>139700</xdr:rowOff>
    </xdr:to>
    <xdr:sp macro="" textlink="">
      <xdr:nvSpPr>
        <xdr:cNvPr id="43" name="Ovaal 42">
          <a:extLst>
            <a:ext uri="{FF2B5EF4-FFF2-40B4-BE49-F238E27FC236}">
              <a16:creationId xmlns:a16="http://schemas.microsoft.com/office/drawing/2014/main" id="{90C26CE0-A0ED-424B-BC15-A04505B20E12}"/>
            </a:ext>
          </a:extLst>
        </xdr:cNvPr>
        <xdr:cNvSpPr/>
      </xdr:nvSpPr>
      <xdr:spPr>
        <a:xfrm>
          <a:off x="444500" y="15316200"/>
          <a:ext cx="2628900" cy="11811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Noteer hier hoeveel punten jullie aan een taak hebben gegeven tijdens punten pokeren.</a:t>
          </a:r>
        </a:p>
      </xdr:txBody>
    </xdr:sp>
    <xdr:clientData/>
  </xdr:twoCellAnchor>
  <xdr:twoCellAnchor>
    <xdr:from>
      <xdr:col>6</xdr:col>
      <xdr:colOff>609600</xdr:colOff>
      <xdr:row>69</xdr:row>
      <xdr:rowOff>139700</xdr:rowOff>
    </xdr:from>
    <xdr:to>
      <xdr:col>8</xdr:col>
      <xdr:colOff>88900</xdr:colOff>
      <xdr:row>80</xdr:row>
      <xdr:rowOff>76200</xdr:rowOff>
    </xdr:to>
    <xdr:cxnSp macro="">
      <xdr:nvCxnSpPr>
        <xdr:cNvPr id="45" name="Rechte verbindingslijn met pijl 44">
          <a:extLst>
            <a:ext uri="{FF2B5EF4-FFF2-40B4-BE49-F238E27FC236}">
              <a16:creationId xmlns:a16="http://schemas.microsoft.com/office/drawing/2014/main" id="{A86CA5A3-36D1-CD46-8BB4-1322418302FD}"/>
            </a:ext>
          </a:extLst>
        </xdr:cNvPr>
        <xdr:cNvCxnSpPr/>
      </xdr:nvCxnSpPr>
      <xdr:spPr>
        <a:xfrm flipH="1" flipV="1">
          <a:off x="5562600" y="14262100"/>
          <a:ext cx="1130300" cy="21717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63500</xdr:colOff>
      <xdr:row>79</xdr:row>
      <xdr:rowOff>177800</xdr:rowOff>
    </xdr:from>
    <xdr:to>
      <xdr:col>10</xdr:col>
      <xdr:colOff>215900</xdr:colOff>
      <xdr:row>84</xdr:row>
      <xdr:rowOff>38100</xdr:rowOff>
    </xdr:to>
    <xdr:sp macro="" textlink="">
      <xdr:nvSpPr>
        <xdr:cNvPr id="46" name="Ovaal 45">
          <a:extLst>
            <a:ext uri="{FF2B5EF4-FFF2-40B4-BE49-F238E27FC236}">
              <a16:creationId xmlns:a16="http://schemas.microsoft.com/office/drawing/2014/main" id="{B252275B-B38F-1446-9CB5-021185811B46}"/>
            </a:ext>
          </a:extLst>
        </xdr:cNvPr>
        <xdr:cNvSpPr/>
      </xdr:nvSpPr>
      <xdr:spPr>
        <a:xfrm>
          <a:off x="5842000" y="16332200"/>
          <a:ext cx="2628900" cy="876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Als een taak is afgerond, klik dan op het driehoekje en kies "ja"</a:t>
          </a:r>
        </a:p>
      </xdr:txBody>
    </xdr:sp>
    <xdr:clientData/>
  </xdr:twoCellAnchor>
  <xdr:twoCellAnchor>
    <xdr:from>
      <xdr:col>10</xdr:col>
      <xdr:colOff>190500</xdr:colOff>
      <xdr:row>69</xdr:row>
      <xdr:rowOff>114300</xdr:rowOff>
    </xdr:from>
    <xdr:to>
      <xdr:col>12</xdr:col>
      <xdr:colOff>596900</xdr:colOff>
      <xdr:row>73</xdr:row>
      <xdr:rowOff>177800</xdr:rowOff>
    </xdr:to>
    <xdr:sp macro="" textlink="">
      <xdr:nvSpPr>
        <xdr:cNvPr id="49" name="Ovaal 48">
          <a:extLst>
            <a:ext uri="{FF2B5EF4-FFF2-40B4-BE49-F238E27FC236}">
              <a16:creationId xmlns:a16="http://schemas.microsoft.com/office/drawing/2014/main" id="{9350A5CF-D939-3947-B6F5-0C13F6138ABE}"/>
            </a:ext>
          </a:extLst>
        </xdr:cNvPr>
        <xdr:cNvSpPr/>
      </xdr:nvSpPr>
      <xdr:spPr>
        <a:xfrm>
          <a:off x="8445500" y="14236700"/>
          <a:ext cx="2057400" cy="876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Vul hier in in welke sprint je de taak plant.</a:t>
          </a:r>
        </a:p>
      </xdr:txBody>
    </xdr:sp>
    <xdr:clientData/>
  </xdr:twoCellAnchor>
  <xdr:twoCellAnchor>
    <xdr:from>
      <xdr:col>9</xdr:col>
      <xdr:colOff>457200</xdr:colOff>
      <xdr:row>59</xdr:row>
      <xdr:rowOff>25400</xdr:rowOff>
    </xdr:from>
    <xdr:to>
      <xdr:col>10</xdr:col>
      <xdr:colOff>673100</xdr:colOff>
      <xdr:row>60</xdr:row>
      <xdr:rowOff>190500</xdr:rowOff>
    </xdr:to>
    <xdr:cxnSp macro="">
      <xdr:nvCxnSpPr>
        <xdr:cNvPr id="50" name="Rechte verbindingslijn met pijl 49">
          <a:extLst>
            <a:ext uri="{FF2B5EF4-FFF2-40B4-BE49-F238E27FC236}">
              <a16:creationId xmlns:a16="http://schemas.microsoft.com/office/drawing/2014/main" id="{06BEECEB-787C-D94C-8094-E6AF9B4F30F5}"/>
            </a:ext>
          </a:extLst>
        </xdr:cNvPr>
        <xdr:cNvCxnSpPr/>
      </xdr:nvCxnSpPr>
      <xdr:spPr>
        <a:xfrm flipH="1">
          <a:off x="7886700" y="12115800"/>
          <a:ext cx="1041400" cy="3683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622300</xdr:colOff>
      <xdr:row>62</xdr:row>
      <xdr:rowOff>190500</xdr:rowOff>
    </xdr:from>
    <xdr:to>
      <xdr:col>13</xdr:col>
      <xdr:colOff>381000</xdr:colOff>
      <xdr:row>69</xdr:row>
      <xdr:rowOff>63500</xdr:rowOff>
    </xdr:to>
    <xdr:sp macro="" textlink="">
      <xdr:nvSpPr>
        <xdr:cNvPr id="52" name="Ovaal 51">
          <a:extLst>
            <a:ext uri="{FF2B5EF4-FFF2-40B4-BE49-F238E27FC236}">
              <a16:creationId xmlns:a16="http://schemas.microsoft.com/office/drawing/2014/main" id="{04810D5E-4344-8A45-AF5E-256042C10848}"/>
            </a:ext>
          </a:extLst>
        </xdr:cNvPr>
        <xdr:cNvSpPr/>
      </xdr:nvSpPr>
      <xdr:spPr>
        <a:xfrm>
          <a:off x="8877300" y="12890500"/>
          <a:ext cx="2235200" cy="1295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Als de taak afgerond is, noteer dan aan het eind van de dag in welke sprint dit gedaan is.</a:t>
          </a:r>
        </a:p>
      </xdr:txBody>
    </xdr:sp>
    <xdr:clientData/>
  </xdr:twoCellAnchor>
  <xdr:twoCellAnchor>
    <xdr:from>
      <xdr:col>8</xdr:col>
      <xdr:colOff>596900</xdr:colOff>
      <xdr:row>65</xdr:row>
      <xdr:rowOff>190500</xdr:rowOff>
    </xdr:from>
    <xdr:to>
      <xdr:col>10</xdr:col>
      <xdr:colOff>774700</xdr:colOff>
      <xdr:row>67</xdr:row>
      <xdr:rowOff>190500</xdr:rowOff>
    </xdr:to>
    <xdr:cxnSp macro="">
      <xdr:nvCxnSpPr>
        <xdr:cNvPr id="53" name="Rechte verbindingslijn met pijl 52">
          <a:extLst>
            <a:ext uri="{FF2B5EF4-FFF2-40B4-BE49-F238E27FC236}">
              <a16:creationId xmlns:a16="http://schemas.microsoft.com/office/drawing/2014/main" id="{12D92E1F-A394-DB4B-9844-75E8766DD321}"/>
            </a:ext>
          </a:extLst>
        </xdr:cNvPr>
        <xdr:cNvCxnSpPr/>
      </xdr:nvCxnSpPr>
      <xdr:spPr>
        <a:xfrm flipH="1">
          <a:off x="7200900" y="13500100"/>
          <a:ext cx="1828800" cy="4064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25400</xdr:colOff>
      <xdr:row>73</xdr:row>
      <xdr:rowOff>139700</xdr:rowOff>
    </xdr:from>
    <xdr:to>
      <xdr:col>11</xdr:col>
      <xdr:colOff>609600</xdr:colOff>
      <xdr:row>80</xdr:row>
      <xdr:rowOff>12700</xdr:rowOff>
    </xdr:to>
    <xdr:sp macro="" textlink="">
      <xdr:nvSpPr>
        <xdr:cNvPr id="56" name="Ovaal 55">
          <a:extLst>
            <a:ext uri="{FF2B5EF4-FFF2-40B4-BE49-F238E27FC236}">
              <a16:creationId xmlns:a16="http://schemas.microsoft.com/office/drawing/2014/main" id="{D726582E-CEBF-C54B-8EAB-3D9E0A94C169}"/>
            </a:ext>
          </a:extLst>
        </xdr:cNvPr>
        <xdr:cNvSpPr/>
      </xdr:nvSpPr>
      <xdr:spPr>
        <a:xfrm>
          <a:off x="7454900" y="15074900"/>
          <a:ext cx="2235200" cy="1295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Hier zie je per taak of die is afgerond of nog te doen is.</a:t>
          </a:r>
          <a:r>
            <a:rPr lang="nl-NL" sz="1100" baseline="0"/>
            <a:t> Groen = afgerond, rood = nog te doen.</a:t>
          </a:r>
          <a:endParaRPr lang="nl-NL" sz="1100"/>
        </a:p>
      </xdr:txBody>
    </xdr:sp>
    <xdr:clientData/>
  </xdr:twoCellAnchor>
  <xdr:twoCellAnchor>
    <xdr:from>
      <xdr:col>10</xdr:col>
      <xdr:colOff>266700</xdr:colOff>
      <xdr:row>55</xdr:row>
      <xdr:rowOff>88900</xdr:rowOff>
    </xdr:from>
    <xdr:to>
      <xdr:col>13</xdr:col>
      <xdr:colOff>711200</xdr:colOff>
      <xdr:row>62</xdr:row>
      <xdr:rowOff>177800</xdr:rowOff>
    </xdr:to>
    <xdr:sp macro="" textlink="">
      <xdr:nvSpPr>
        <xdr:cNvPr id="60" name="Ovaal 59">
          <a:extLst>
            <a:ext uri="{FF2B5EF4-FFF2-40B4-BE49-F238E27FC236}">
              <a16:creationId xmlns:a16="http://schemas.microsoft.com/office/drawing/2014/main" id="{D4C0F088-31B4-CB4A-A1BF-6919BF565676}"/>
            </a:ext>
          </a:extLst>
        </xdr:cNvPr>
        <xdr:cNvSpPr/>
      </xdr:nvSpPr>
      <xdr:spPr>
        <a:xfrm>
          <a:off x="8521700" y="11366500"/>
          <a:ext cx="2921000" cy="1511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Hier zie je</a:t>
          </a:r>
          <a:r>
            <a:rPr lang="nl-NL" sz="1100" baseline="0"/>
            <a:t> hoeveel punten jullie in totaal weg te werken hebben deze periode, hoeveel er al gedaan is en hoeveel er nog te doen is.</a:t>
          </a:r>
          <a:endParaRPr lang="nl-NL" sz="1100"/>
        </a:p>
      </xdr:txBody>
    </xdr:sp>
    <xdr:clientData/>
  </xdr:twoCellAnchor>
  <xdr:twoCellAnchor>
    <xdr:from>
      <xdr:col>7</xdr:col>
      <xdr:colOff>241300</xdr:colOff>
      <xdr:row>71</xdr:row>
      <xdr:rowOff>0</xdr:rowOff>
    </xdr:from>
    <xdr:to>
      <xdr:col>9</xdr:col>
      <xdr:colOff>292100</xdr:colOff>
      <xdr:row>75</xdr:row>
      <xdr:rowOff>152400</xdr:rowOff>
    </xdr:to>
    <xdr:cxnSp macro="">
      <xdr:nvCxnSpPr>
        <xdr:cNvPr id="61" name="Rechte verbindingslijn met pijl 60">
          <a:extLst>
            <a:ext uri="{FF2B5EF4-FFF2-40B4-BE49-F238E27FC236}">
              <a16:creationId xmlns:a16="http://schemas.microsoft.com/office/drawing/2014/main" id="{C3C4DAF6-418D-074F-A8B8-72915878E25D}"/>
            </a:ext>
          </a:extLst>
        </xdr:cNvPr>
        <xdr:cNvCxnSpPr/>
      </xdr:nvCxnSpPr>
      <xdr:spPr>
        <a:xfrm flipH="1" flipV="1">
          <a:off x="6019800" y="14528800"/>
          <a:ext cx="1701800" cy="9652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812800</xdr:colOff>
      <xdr:row>70</xdr:row>
      <xdr:rowOff>25400</xdr:rowOff>
    </xdr:from>
    <xdr:to>
      <xdr:col>10</xdr:col>
      <xdr:colOff>558800</xdr:colOff>
      <xdr:row>71</xdr:row>
      <xdr:rowOff>139700</xdr:rowOff>
    </xdr:to>
    <xdr:cxnSp macro="">
      <xdr:nvCxnSpPr>
        <xdr:cNvPr id="69" name="Rechte verbindingslijn met pijl 68">
          <a:extLst>
            <a:ext uri="{FF2B5EF4-FFF2-40B4-BE49-F238E27FC236}">
              <a16:creationId xmlns:a16="http://schemas.microsoft.com/office/drawing/2014/main" id="{A92A3B88-0D38-9A45-AB08-2F19F1FEBEA3}"/>
            </a:ext>
          </a:extLst>
        </xdr:cNvPr>
        <xdr:cNvCxnSpPr/>
      </xdr:nvCxnSpPr>
      <xdr:spPr>
        <a:xfrm flipH="1" flipV="1">
          <a:off x="6591300" y="14351000"/>
          <a:ext cx="2222500" cy="3175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215900</xdr:colOff>
      <xdr:row>104</xdr:row>
      <xdr:rowOff>76200</xdr:rowOff>
    </xdr:from>
    <xdr:to>
      <xdr:col>2</xdr:col>
      <xdr:colOff>749300</xdr:colOff>
      <xdr:row>107</xdr:row>
      <xdr:rowOff>50800</xdr:rowOff>
    </xdr:to>
    <xdr:sp macro="" textlink="">
      <xdr:nvSpPr>
        <xdr:cNvPr id="72" name="Afgeronde rechthoek 71">
          <a:extLst>
            <a:ext uri="{FF2B5EF4-FFF2-40B4-BE49-F238E27FC236}">
              <a16:creationId xmlns:a16="http://schemas.microsoft.com/office/drawing/2014/main" id="{6E6BD7AC-FB4E-4241-9286-4BC401B8D9EC}"/>
            </a:ext>
          </a:extLst>
        </xdr:cNvPr>
        <xdr:cNvSpPr/>
      </xdr:nvSpPr>
      <xdr:spPr>
        <a:xfrm>
          <a:off x="215900" y="21310600"/>
          <a:ext cx="2184400" cy="5842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lang="nl-NL" sz="1100"/>
            <a:t>Tabblad: punten</a:t>
          </a:r>
          <a:r>
            <a:rPr lang="nl-NL" sz="1100" baseline="0"/>
            <a:t> planning</a:t>
          </a:r>
          <a:endParaRPr lang="nl-NL" sz="1100"/>
        </a:p>
      </xdr:txBody>
    </xdr:sp>
    <xdr:clientData/>
  </xdr:twoCellAnchor>
  <xdr:twoCellAnchor>
    <xdr:from>
      <xdr:col>0</xdr:col>
      <xdr:colOff>266700</xdr:colOff>
      <xdr:row>108</xdr:row>
      <xdr:rowOff>88900</xdr:rowOff>
    </xdr:from>
    <xdr:to>
      <xdr:col>4</xdr:col>
      <xdr:colOff>177800</xdr:colOff>
      <xdr:row>118</xdr:row>
      <xdr:rowOff>127000</xdr:rowOff>
    </xdr:to>
    <xdr:sp macro="" textlink="">
      <xdr:nvSpPr>
        <xdr:cNvPr id="73" name="Ovaal 72">
          <a:extLst>
            <a:ext uri="{FF2B5EF4-FFF2-40B4-BE49-F238E27FC236}">
              <a16:creationId xmlns:a16="http://schemas.microsoft.com/office/drawing/2014/main" id="{33F8FE49-A86B-484A-9623-4D8EDFB0E24A}"/>
            </a:ext>
          </a:extLst>
        </xdr:cNvPr>
        <xdr:cNvSpPr/>
      </xdr:nvSpPr>
      <xdr:spPr>
        <a:xfrm>
          <a:off x="266700" y="22136100"/>
          <a:ext cx="3213100" cy="20701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In de periode Burn Down</a:t>
          </a:r>
          <a:r>
            <a:rPr lang="nl-NL" sz="1100" baseline="0"/>
            <a:t> zie je of je in de periode op schema loopt. De blauwe lijn is de ideale lijn, de rode lijn is zoals jullie voortgang werkelijk is. Onder de ideale lijn betekent: jullie lopen voor op schema. Boven de lijn betekent: jullie lopen achter op schema.</a:t>
          </a:r>
          <a:endParaRPr lang="nl-NL" sz="1100"/>
        </a:p>
      </xdr:txBody>
    </xdr:sp>
    <xdr:clientData/>
  </xdr:twoCellAnchor>
  <xdr:twoCellAnchor>
    <xdr:from>
      <xdr:col>2</xdr:col>
      <xdr:colOff>317500</xdr:colOff>
      <xdr:row>107</xdr:row>
      <xdr:rowOff>12700</xdr:rowOff>
    </xdr:from>
    <xdr:to>
      <xdr:col>4</xdr:col>
      <xdr:colOff>50800</xdr:colOff>
      <xdr:row>109</xdr:row>
      <xdr:rowOff>38100</xdr:rowOff>
    </xdr:to>
    <xdr:cxnSp macro="">
      <xdr:nvCxnSpPr>
        <xdr:cNvPr id="74" name="Rechte verbindingslijn met pijl 73">
          <a:extLst>
            <a:ext uri="{FF2B5EF4-FFF2-40B4-BE49-F238E27FC236}">
              <a16:creationId xmlns:a16="http://schemas.microsoft.com/office/drawing/2014/main" id="{EEE4A2F5-3DF1-F94B-BC58-358A47656162}"/>
            </a:ext>
          </a:extLst>
        </xdr:cNvPr>
        <xdr:cNvCxnSpPr/>
      </xdr:nvCxnSpPr>
      <xdr:spPr>
        <a:xfrm flipV="1">
          <a:off x="1968500" y="21856700"/>
          <a:ext cx="1384300" cy="431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800100</xdr:colOff>
      <xdr:row>106</xdr:row>
      <xdr:rowOff>127000</xdr:rowOff>
    </xdr:from>
    <xdr:to>
      <xdr:col>16</xdr:col>
      <xdr:colOff>711200</xdr:colOff>
      <xdr:row>112</xdr:row>
      <xdr:rowOff>165100</xdr:rowOff>
    </xdr:to>
    <xdr:sp macro="" textlink="">
      <xdr:nvSpPr>
        <xdr:cNvPr id="76" name="Ovaal 75">
          <a:extLst>
            <a:ext uri="{FF2B5EF4-FFF2-40B4-BE49-F238E27FC236}">
              <a16:creationId xmlns:a16="http://schemas.microsoft.com/office/drawing/2014/main" id="{048EE530-D956-6148-A51D-58C10043BB0D}"/>
            </a:ext>
          </a:extLst>
        </xdr:cNvPr>
        <xdr:cNvSpPr/>
      </xdr:nvSpPr>
      <xdr:spPr>
        <a:xfrm>
          <a:off x="10706100" y="21767800"/>
          <a:ext cx="3213100" cy="1257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Per sprint kun je zien hoe de voortgang verloopt. Zorg dat je kunt uitleggen hoe jullie lijnen zijn ontstaan.</a:t>
          </a:r>
        </a:p>
      </xdr:txBody>
    </xdr:sp>
    <xdr:clientData/>
  </xdr:twoCellAnchor>
  <xdr:twoCellAnchor>
    <xdr:from>
      <xdr:col>8</xdr:col>
      <xdr:colOff>342900</xdr:colOff>
      <xdr:row>108</xdr:row>
      <xdr:rowOff>38100</xdr:rowOff>
    </xdr:from>
    <xdr:to>
      <xdr:col>13</xdr:col>
      <xdr:colOff>228600</xdr:colOff>
      <xdr:row>110</xdr:row>
      <xdr:rowOff>152400</xdr:rowOff>
    </xdr:to>
    <xdr:cxnSp macro="">
      <xdr:nvCxnSpPr>
        <xdr:cNvPr id="77" name="Rechte verbindingslijn met pijl 76">
          <a:extLst>
            <a:ext uri="{FF2B5EF4-FFF2-40B4-BE49-F238E27FC236}">
              <a16:creationId xmlns:a16="http://schemas.microsoft.com/office/drawing/2014/main" id="{E445B37B-D185-B84D-B3AE-37137C0BFF48}"/>
            </a:ext>
          </a:extLst>
        </xdr:cNvPr>
        <xdr:cNvCxnSpPr/>
      </xdr:nvCxnSpPr>
      <xdr:spPr>
        <a:xfrm flipH="1" flipV="1">
          <a:off x="6946900" y="22085300"/>
          <a:ext cx="4013200" cy="5207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7DFB2-6BCC-2B47-8FBC-559334B048C0}">
  <sheetPr codeName="Blad1"/>
  <dimension ref="A1:N39"/>
  <sheetViews>
    <sheetView zoomScaleNormal="100" workbookViewId="0">
      <selection activeCell="I25" sqref="I25"/>
    </sheetView>
  </sheetViews>
  <sheetFormatPr baseColWidth="10" defaultRowHeight="16" x14ac:dyDescent="0.2"/>
  <cols>
    <col min="2" max="2" width="10.5" style="3" bestFit="1" customWidth="1"/>
    <col min="3" max="3" width="5.1640625" style="3" bestFit="1" customWidth="1"/>
    <col min="4" max="4" width="5.1640625" bestFit="1" customWidth="1"/>
    <col min="9" max="9" width="10.5" style="3" bestFit="1" customWidth="1"/>
    <col min="10" max="10" width="5.1640625" style="3" bestFit="1" customWidth="1"/>
    <col min="11" max="11" width="5.1640625" bestFit="1" customWidth="1"/>
  </cols>
  <sheetData>
    <row r="1" spans="1:14" ht="24" x14ac:dyDescent="0.3">
      <c r="A1" s="7" t="s">
        <v>29</v>
      </c>
    </row>
    <row r="3" spans="1:14" ht="17" thickBot="1" x14ac:dyDescent="0.25"/>
    <row r="4" spans="1:14" ht="24" x14ac:dyDescent="0.3">
      <c r="B4" s="20" t="s">
        <v>24</v>
      </c>
      <c r="C4" s="26" t="s">
        <v>53</v>
      </c>
      <c r="D4" s="26" t="s">
        <v>50</v>
      </c>
      <c r="E4" s="8" t="s">
        <v>51</v>
      </c>
      <c r="F4" s="8" t="s">
        <v>22</v>
      </c>
      <c r="G4" s="9" t="s">
        <v>52</v>
      </c>
      <c r="I4" s="20" t="s">
        <v>26</v>
      </c>
      <c r="J4" s="26" t="s">
        <v>53</v>
      </c>
      <c r="K4" s="26" t="s">
        <v>50</v>
      </c>
      <c r="L4" s="8" t="s">
        <v>51</v>
      </c>
      <c r="M4" s="8" t="s">
        <v>22</v>
      </c>
      <c r="N4" s="9" t="s">
        <v>52</v>
      </c>
    </row>
    <row r="5" spans="1:14" x14ac:dyDescent="0.2">
      <c r="B5" s="10"/>
      <c r="C5" s="3">
        <v>0</v>
      </c>
      <c r="D5" s="3"/>
      <c r="E5">
        <f>'punten planning'!F17</f>
        <v>115</v>
      </c>
      <c r="F5">
        <f>E5</f>
        <v>115</v>
      </c>
      <c r="G5" s="11">
        <f>F5</f>
        <v>115</v>
      </c>
      <c r="I5" s="31"/>
      <c r="J5" s="3">
        <v>0</v>
      </c>
      <c r="K5" s="3"/>
      <c r="L5">
        <f>'punten planning'!F19</f>
        <v>120</v>
      </c>
      <c r="M5">
        <f>L5</f>
        <v>120</v>
      </c>
      <c r="N5" s="11">
        <f>M5</f>
        <v>120</v>
      </c>
    </row>
    <row r="6" spans="1:14" x14ac:dyDescent="0.2">
      <c r="B6" s="12">
        <v>44893</v>
      </c>
      <c r="C6" s="3">
        <f>IF(('punten planning'!$C$13*2)&gt;=1,1,0)</f>
        <v>1</v>
      </c>
      <c r="D6" s="27">
        <v>10</v>
      </c>
      <c r="E6">
        <f>IF(C6&gt;0,$E$5-D6,0)</f>
        <v>105</v>
      </c>
      <c r="F6" s="13">
        <f>IF(C6&gt;0,$F$5/('punten planning'!$C$13*2),0)</f>
        <v>19.166666666666668</v>
      </c>
      <c r="G6" s="14">
        <f>IF(C6&gt;0,$F$5-F6,0)</f>
        <v>95.833333333333329</v>
      </c>
      <c r="I6" s="12">
        <v>44936</v>
      </c>
      <c r="J6" s="3">
        <f>IF(('punten planning'!$C$13*2)&gt;=1,1,0)</f>
        <v>1</v>
      </c>
      <c r="K6" s="27"/>
      <c r="L6">
        <f>IF(J6&gt;0,$L$5-K6,0)</f>
        <v>120</v>
      </c>
      <c r="M6" s="13">
        <f>IF(J6&gt;0,$M$5/('punten planning'!$C$13*2),0)</f>
        <v>20</v>
      </c>
      <c r="N6" s="14">
        <f>IF(J6&gt;0,$M$5-M6,0)</f>
        <v>100</v>
      </c>
    </row>
    <row r="7" spans="1:14" x14ac:dyDescent="0.2">
      <c r="B7" s="12">
        <v>44894</v>
      </c>
      <c r="C7" s="3">
        <f>IF(('punten planning'!$C$13*2)&gt;=2,2,0)</f>
        <v>2</v>
      </c>
      <c r="D7" s="27">
        <v>10</v>
      </c>
      <c r="E7">
        <f>IF(C7&gt;0,$E$5-(D7+D6),0)</f>
        <v>95</v>
      </c>
      <c r="F7" s="13">
        <f>IF(C7&gt;0,$F$5/('punten planning'!$C$13*2),0)</f>
        <v>19.166666666666668</v>
      </c>
      <c r="G7" s="14">
        <f>IF(C7&gt;0,$F$5-(F7+F6),0)</f>
        <v>76.666666666666657</v>
      </c>
      <c r="I7" s="12">
        <v>44937</v>
      </c>
      <c r="J7" s="3">
        <f>IF(('punten planning'!$C$13*2)&gt;=2,2,0)</f>
        <v>2</v>
      </c>
      <c r="K7" s="27"/>
      <c r="L7">
        <f>IF(J7&gt;0,$L$5-(SUM(K6:K7)),0)</f>
        <v>120</v>
      </c>
      <c r="M7" s="13">
        <f>IF(J7&gt;0,$M$5/('punten planning'!$C$13*2),0)</f>
        <v>20</v>
      </c>
      <c r="N7" s="14">
        <f>IF(J7&gt;0,$M$5-(SUM(M6:M7)),0)</f>
        <v>80</v>
      </c>
    </row>
    <row r="8" spans="1:14" x14ac:dyDescent="0.2">
      <c r="B8" s="12">
        <v>44895</v>
      </c>
      <c r="C8" s="3">
        <f>IF(('punten planning'!$C$13*2)&gt;=3,3,0)</f>
        <v>3</v>
      </c>
      <c r="D8" s="27">
        <v>20</v>
      </c>
      <c r="E8">
        <f>IF(C8&gt;0,$E$5-(D8+D7+D6),0)</f>
        <v>75</v>
      </c>
      <c r="F8" s="13">
        <f>IF(C8&gt;0,$F$5/('punten planning'!$C$13*2),0)</f>
        <v>19.166666666666668</v>
      </c>
      <c r="G8" s="14">
        <f>IF(C8&gt;0,$F$5-(F8+F7+F6),0)</f>
        <v>57.5</v>
      </c>
      <c r="I8" s="12">
        <v>44942</v>
      </c>
      <c r="J8" s="3">
        <f>IF(('punten planning'!$C$13*2)&gt;=3,3,0)</f>
        <v>3</v>
      </c>
      <c r="K8" s="27"/>
      <c r="L8">
        <f>IF(J8&gt;0,$L$5-(SUM(K6:K8)),0)</f>
        <v>120</v>
      </c>
      <c r="M8" s="13">
        <f>IF(J8&gt;0,$M$5/('punten planning'!$C$13*2),0)</f>
        <v>20</v>
      </c>
      <c r="N8" s="14">
        <f>IF(J8&gt;0,$M$5-(SUM(M6:M8)),0)</f>
        <v>60</v>
      </c>
    </row>
    <row r="9" spans="1:14" x14ac:dyDescent="0.2">
      <c r="B9" s="12">
        <v>44900</v>
      </c>
      <c r="C9" s="3">
        <f>IF(('punten planning'!$C$13*2)&gt;=4,4,0)</f>
        <v>4</v>
      </c>
      <c r="D9" s="27">
        <v>20</v>
      </c>
      <c r="E9">
        <f>IF(C9&gt;0,$E$5-(D9+D8+D7+D6),0)</f>
        <v>55</v>
      </c>
      <c r="F9" s="13">
        <f>IF(C9&gt;0,$F$5/('punten planning'!$C$13*2),0)</f>
        <v>19.166666666666668</v>
      </c>
      <c r="G9" s="14">
        <f>IF(C9&gt;0,$F$5-(F9+F8+F7+F6),0)</f>
        <v>38.333333333333329</v>
      </c>
      <c r="I9" s="12">
        <v>44943</v>
      </c>
      <c r="J9" s="3">
        <f>IF(('punten planning'!$C$13*2)&gt;=4,4,0)</f>
        <v>4</v>
      </c>
      <c r="K9" s="27"/>
      <c r="L9">
        <f>IF(J9&gt;0,$L$5-(SUM(K6:K9)),0)</f>
        <v>120</v>
      </c>
      <c r="M9" s="13">
        <f>IF(J9&gt;0,$M$5/('punten planning'!$C$13*2),0)</f>
        <v>20</v>
      </c>
      <c r="N9" s="14">
        <f>IF(J9&gt;0,$M$5-(SUM(M6:M9)),0)</f>
        <v>40</v>
      </c>
    </row>
    <row r="10" spans="1:14" x14ac:dyDescent="0.2">
      <c r="B10" s="12">
        <v>44901</v>
      </c>
      <c r="C10" s="3">
        <f>IF(('punten planning'!$C$13*2)&gt;=5,5,0)</f>
        <v>5</v>
      </c>
      <c r="D10" s="27">
        <v>20</v>
      </c>
      <c r="E10">
        <f>IF(C10&gt;0,$E$5-(D10+D9+D8+D7+D6),0)</f>
        <v>35</v>
      </c>
      <c r="F10" s="13">
        <f>IF(C10&gt;0,$F$5/('punten planning'!$C$13*2),0)</f>
        <v>19.166666666666668</v>
      </c>
      <c r="G10" s="14">
        <f>IF(C10&gt;0,$F$5-(F10+F9+F8+F7+F6),0)</f>
        <v>19.166666666666657</v>
      </c>
      <c r="I10" s="12">
        <v>44944</v>
      </c>
      <c r="J10" s="3">
        <f>IF(('punten planning'!$C$13*2)&gt;=5,5,0)</f>
        <v>5</v>
      </c>
      <c r="K10" s="27"/>
      <c r="L10">
        <f>IF(J10&gt;0,$L$5-(SUM(K6:K10)),0)</f>
        <v>120</v>
      </c>
      <c r="M10" s="13">
        <f>IF(J10&gt;0,$M$5/('punten planning'!$C$13*2),0)</f>
        <v>20</v>
      </c>
      <c r="N10" s="14">
        <f>IF(J10&gt;0,$M$5-(SUM(M6:M10)),0)</f>
        <v>20</v>
      </c>
    </row>
    <row r="11" spans="1:14" x14ac:dyDescent="0.2">
      <c r="B11" s="12">
        <v>44902</v>
      </c>
      <c r="C11" s="3">
        <f>IF(('punten planning'!$C$13*2)&gt;=6,6,0)</f>
        <v>6</v>
      </c>
      <c r="D11" s="27">
        <v>10</v>
      </c>
      <c r="E11">
        <f>IF(C11&gt;0,$E$5-(D11+D10+D9+D8+D7+D6),0)</f>
        <v>25</v>
      </c>
      <c r="F11" s="13">
        <f>IF(C11&gt;0,$F$5/('punten planning'!$C$13*2),0)</f>
        <v>19.166666666666668</v>
      </c>
      <c r="G11" s="14">
        <f>IF(C11&gt;0,$F$5-(F11+F10+F9+F8+F7+F6),0)</f>
        <v>-1.4210854715202004E-14</v>
      </c>
      <c r="I11" s="12"/>
      <c r="J11" s="3">
        <f>IF(('punten planning'!$C$13*2)&gt;=6,6,0)</f>
        <v>6</v>
      </c>
      <c r="K11" s="27"/>
      <c r="L11">
        <f>IF(J11&gt;0,$L$5-(SUM(K6:K11)),0)</f>
        <v>120</v>
      </c>
      <c r="M11" s="13">
        <f>IF(J11&gt;0,$M$5/('punten planning'!$C$13*2),0)</f>
        <v>20</v>
      </c>
      <c r="N11" s="14">
        <f>IF(J11&gt;0,$M$5-(SUM(M6:M11)),0)</f>
        <v>0</v>
      </c>
    </row>
    <row r="12" spans="1:14" x14ac:dyDescent="0.2">
      <c r="B12" s="15"/>
      <c r="C12" s="3">
        <f>IF(('punten planning'!$C$13*2)&gt;=7,7,0)</f>
        <v>0</v>
      </c>
      <c r="D12" s="27"/>
      <c r="E12">
        <f>IF(C12&gt;0,$E$5-(D12+D11+D10+D9+D8+D7+D6),0)</f>
        <v>0</v>
      </c>
      <c r="F12" s="13">
        <f>IF(C12&gt;0,$F$5/('punten planning'!$C$13*2),0)</f>
        <v>0</v>
      </c>
      <c r="G12" s="14">
        <f>IF(C12&gt;0,$F$5-(F12+F11+F10+F9+F8+F7+F6),0)</f>
        <v>0</v>
      </c>
      <c r="I12" s="15"/>
      <c r="J12" s="3">
        <f>IF(('punten planning'!$C$13*2)&gt;=7,7,0)</f>
        <v>0</v>
      </c>
      <c r="K12" s="27"/>
      <c r="L12">
        <f>IF(J12&gt;0,$L$5-(SUM(K6:K12)),0)</f>
        <v>0</v>
      </c>
      <c r="M12" s="13">
        <f>IF(J12&gt;0,$M$5/('punten planning'!$C$13*2),0)</f>
        <v>0</v>
      </c>
      <c r="N12" s="14">
        <f>IF(J12&gt;0,$M$5-(SUM(M6:M12)),0)</f>
        <v>0</v>
      </c>
    </row>
    <row r="13" spans="1:14" x14ac:dyDescent="0.2">
      <c r="B13" s="15"/>
      <c r="C13" s="3">
        <f>IF(('punten planning'!$C$13*2)&gt;=8,8,0)</f>
        <v>0</v>
      </c>
      <c r="D13" s="27"/>
      <c r="E13">
        <f>IF(C13&gt;0,$E$5-(D13+D12+D11+D10+D9+D8+D7+D6),0)</f>
        <v>0</v>
      </c>
      <c r="F13" s="13">
        <f>IF(C13&gt;0,$F$5/('punten planning'!$C$13*2),0)</f>
        <v>0</v>
      </c>
      <c r="G13" s="14">
        <f>IF(C13&gt;0,$F$5-(F13+F12+F11+F10+F9+F8+F7+F6),0)</f>
        <v>0</v>
      </c>
      <c r="I13" s="15"/>
      <c r="J13" s="3">
        <f>IF(('punten planning'!$C$13*2)&gt;=8,8,0)</f>
        <v>0</v>
      </c>
      <c r="K13" s="27"/>
      <c r="L13">
        <f>IF(J13&gt;0,$L$5-(SUM(K6:K13)),0)</f>
        <v>0</v>
      </c>
      <c r="M13" s="13">
        <f>IF(J13&gt;0,$M$5/('punten planning'!$C$13*2),0)</f>
        <v>0</v>
      </c>
      <c r="N13" s="14">
        <f>IF(J13&gt;0,$M$5-(SUM(M6:M13)),0)</f>
        <v>0</v>
      </c>
    </row>
    <row r="14" spans="1:14" x14ac:dyDescent="0.2">
      <c r="B14" s="15"/>
      <c r="C14" s="3">
        <f>IF(('punten planning'!$C$13*2)&gt;=9,9,0)</f>
        <v>0</v>
      </c>
      <c r="D14" s="27"/>
      <c r="E14">
        <f>IF(C14&gt;0,$E$5-(D14+D13+D12+D11+D10+D9+D8+D7+D6),0)</f>
        <v>0</v>
      </c>
      <c r="F14" s="13">
        <f>IF(C14&gt;0,$F$5/('punten planning'!$C$13*2),0)</f>
        <v>0</v>
      </c>
      <c r="G14" s="14">
        <f>IF(C14&gt;0,$F$5-(F14+F13+F12+F11+F10+F9+F8+F7+F6),0)</f>
        <v>0</v>
      </c>
      <c r="I14" s="15"/>
      <c r="J14" s="3">
        <f>IF(('punten planning'!$C$13*2)&gt;=9,9,0)</f>
        <v>0</v>
      </c>
      <c r="K14" s="27"/>
      <c r="L14">
        <f>IF(J14&gt;0,$L$5-(SUM(K6:K14)),0)</f>
        <v>0</v>
      </c>
      <c r="M14" s="13">
        <f>IF(J14&gt;0,$M$5/('punten planning'!$C$13*2),0)</f>
        <v>0</v>
      </c>
      <c r="N14" s="14">
        <f>IF(J14&gt;0,$M$5-(SUM(M6:M14)),0)</f>
        <v>0</v>
      </c>
    </row>
    <row r="15" spans="1:14" x14ac:dyDescent="0.2">
      <c r="B15" s="15"/>
      <c r="C15" s="3">
        <f>IF(('punten planning'!$C$13*2)&gt;=10,10,0)</f>
        <v>0</v>
      </c>
      <c r="D15" s="27"/>
      <c r="E15">
        <f>IF(C15&gt;0,$E$5-(D15+D14+D13+D12+D11+D10+D9+D8+D7+D6),0)</f>
        <v>0</v>
      </c>
      <c r="F15" s="13">
        <f>IF(C15&gt;0,$F$5/('punten planning'!$C$13*2),0)</f>
        <v>0</v>
      </c>
      <c r="G15" s="14">
        <f>IF(C15&gt;0,$F$5-(F15+F14+F13+F12+F11+F10+F9+F8+F7+F6),0)</f>
        <v>0</v>
      </c>
      <c r="I15" s="15"/>
      <c r="J15" s="3">
        <f>IF(('punten planning'!$C$13*2)&gt;=10,10,0)</f>
        <v>0</v>
      </c>
      <c r="K15" s="27"/>
      <c r="L15">
        <f>IF(J15&gt;0,$L$5-(SUM(K6:K15)),0)</f>
        <v>0</v>
      </c>
      <c r="M15" s="13">
        <f>IF(J15&gt;0,$M$5/('punten planning'!$C$13*2),0)</f>
        <v>0</v>
      </c>
      <c r="N15" s="14">
        <f>IF(J15&gt;0,$M$5-(SUM(M6:M15)),0)</f>
        <v>0</v>
      </c>
    </row>
    <row r="16" spans="1:14" x14ac:dyDescent="0.2">
      <c r="B16" s="15"/>
      <c r="C16" s="3">
        <f>IF(('punten planning'!$C$13*2)&gt;=11,11,0)</f>
        <v>0</v>
      </c>
      <c r="D16" s="27"/>
      <c r="E16">
        <f>IF(C16&gt;0,$E$5-(D16+D15+D14+D13+D12+D11+D10+D9+D8+D7+D6),0)</f>
        <v>0</v>
      </c>
      <c r="F16" s="13">
        <f>IF(C16&gt;0,$F$5/('punten planning'!$C$13*2),0)</f>
        <v>0</v>
      </c>
      <c r="G16" s="14">
        <f>IF(C16&gt;0,$F$5-(F16+F15+F14+F13+F12+F11+F10+F9+F8+F7+F6),0)</f>
        <v>0</v>
      </c>
      <c r="I16" s="15"/>
      <c r="J16" s="3">
        <f>IF(('punten planning'!$C$13*2)&gt;=11,11,0)</f>
        <v>0</v>
      </c>
      <c r="K16" s="27"/>
      <c r="L16">
        <f>IF(J16&gt;0,$L$5-(SUM(K6:K16)),0)</f>
        <v>0</v>
      </c>
      <c r="M16" s="13">
        <f>IF(J16&gt;0,$M$5/('punten planning'!$C$13*2),0)</f>
        <v>0</v>
      </c>
      <c r="N16" s="14">
        <f>IF(J16&gt;0,$M$5-(SUM(M6:M16)),0)</f>
        <v>0</v>
      </c>
    </row>
    <row r="17" spans="2:14" x14ac:dyDescent="0.2">
      <c r="B17" s="15"/>
      <c r="C17" s="3">
        <f>IF(('punten planning'!$C$13*2)&gt;=12,12,0)</f>
        <v>0</v>
      </c>
      <c r="D17" s="27"/>
      <c r="E17">
        <f>IF(C17&gt;0,$E$5-(D17+D16+D15+D14+D13+D12+D11+D10+D9+D8+D7+D6),0)</f>
        <v>0</v>
      </c>
      <c r="F17" s="13">
        <f>IF(C17&gt;0,$F$5/('punten planning'!$C$13*2),0)</f>
        <v>0</v>
      </c>
      <c r="G17" s="14">
        <f>IF(C17&gt;0,$F$5-(F17+F16+F15+F14+F13+F12+F11+F10+F9+F8+F7+F6),0)</f>
        <v>0</v>
      </c>
      <c r="I17" s="15"/>
      <c r="J17" s="3">
        <f>IF(('punten planning'!$C$13*2)&gt;=12,12,0)</f>
        <v>0</v>
      </c>
      <c r="K17" s="27"/>
      <c r="L17">
        <f>IF(J17&gt;0,$L$5-(SUM(K6:K17)),0)</f>
        <v>0</v>
      </c>
      <c r="M17" s="13">
        <f>IF(J17&gt;0,$M$5/('punten planning'!$C$13*2),0)</f>
        <v>0</v>
      </c>
      <c r="N17" s="14">
        <f>IF(J17&gt;0,$M$5-(SUM(M6:M17)),0)</f>
        <v>0</v>
      </c>
    </row>
    <row r="18" spans="2:14" x14ac:dyDescent="0.2">
      <c r="B18" s="15"/>
      <c r="C18" s="3">
        <f>IF(('punten planning'!$C$13*2)&gt;=13,13,0)</f>
        <v>0</v>
      </c>
      <c r="D18" s="27"/>
      <c r="E18">
        <f>IF(C18&gt;0,$E$5-(D18+D17+D16+D15+D14+D13+D12+D11+D10+D9+D8+D7+D6),0)</f>
        <v>0</v>
      </c>
      <c r="F18" s="13">
        <f>IF(C18&gt;0,$F$5/('punten planning'!$C$13*2),0)</f>
        <v>0</v>
      </c>
      <c r="G18" s="14">
        <f>IF(C18&gt;0,$F$5-(F18+F17+F16+F15+F14+F13+F12+F11+F10+F9+F8+F7+F6),0)</f>
        <v>0</v>
      </c>
      <c r="I18" s="15"/>
      <c r="J18" s="3">
        <f>IF(('punten planning'!$C$13*2)&gt;=13,13,0)</f>
        <v>0</v>
      </c>
      <c r="K18" s="27"/>
      <c r="L18">
        <f>IF(J18&gt;0,$L$5-(SUM(K6:K18)),0)</f>
        <v>0</v>
      </c>
      <c r="M18" s="13">
        <f>IF(J18&gt;0,$M$5/('punten planning'!$C$13*2),0)</f>
        <v>0</v>
      </c>
      <c r="N18" s="14">
        <f>IF(J18&gt;0,$M$5-(SUM(M6:M18)),0)</f>
        <v>0</v>
      </c>
    </row>
    <row r="19" spans="2:14" ht="17" thickBot="1" x14ac:dyDescent="0.25">
      <c r="B19" s="16"/>
      <c r="C19" s="29">
        <f>IF(('punten planning'!$C$13*2)&gt;=14,14,0)</f>
        <v>0</v>
      </c>
      <c r="D19" s="28"/>
      <c r="E19" s="17">
        <f>IF(C19&gt;0,$E$5-(D19+D18+D17+D16+D15+D14+D13+D12+D11+D10+D9+D8+D7+D6),0)</f>
        <v>0</v>
      </c>
      <c r="F19" s="18">
        <f>IF(C19&gt;0,$F$5/('punten planning'!$C$13*2),0)</f>
        <v>0</v>
      </c>
      <c r="G19" s="19">
        <f>IF(C19&gt;0,$F$5-(F19+F18+F17+F16+F15+F14+F13+F12+F11+F10+F9+F8+F7+F6),0)</f>
        <v>0</v>
      </c>
      <c r="I19" s="16"/>
      <c r="J19" s="29">
        <f>IF(('punten planning'!$C$13*2)&gt;=14,14,0)</f>
        <v>0</v>
      </c>
      <c r="K19" s="28"/>
      <c r="L19" s="17">
        <f>IF(J19&gt;0,$L$5-(SUM(K6:K19)),0)</f>
        <v>0</v>
      </c>
      <c r="M19" s="18">
        <f>IF(J19&gt;0,$M$5/('punten planning'!$C$13*2),0)</f>
        <v>0</v>
      </c>
      <c r="N19" s="19">
        <f>IF(J19&gt;0,$M$5-(SUM(M6:M19)),0)</f>
        <v>0</v>
      </c>
    </row>
    <row r="20" spans="2:14" x14ac:dyDescent="0.2">
      <c r="B20"/>
      <c r="D20" s="3"/>
      <c r="I20"/>
      <c r="K20" s="3"/>
    </row>
    <row r="21" spans="2:14" x14ac:dyDescent="0.2">
      <c r="B21"/>
      <c r="D21" s="3"/>
      <c r="I21"/>
      <c r="K21" s="3"/>
    </row>
    <row r="22" spans="2:14" x14ac:dyDescent="0.2">
      <c r="B22"/>
      <c r="D22" s="3"/>
      <c r="I22"/>
      <c r="K22" s="3"/>
    </row>
    <row r="23" spans="2:14" ht="17" thickBot="1" x14ac:dyDescent="0.25">
      <c r="B23"/>
      <c r="D23" s="3"/>
      <c r="I23"/>
      <c r="K23" s="3"/>
    </row>
    <row r="24" spans="2:14" ht="24" x14ac:dyDescent="0.3">
      <c r="B24" s="20" t="s">
        <v>25</v>
      </c>
      <c r="C24" s="26" t="s">
        <v>53</v>
      </c>
      <c r="D24" s="26" t="s">
        <v>50</v>
      </c>
      <c r="E24" s="8" t="s">
        <v>51</v>
      </c>
      <c r="F24" s="8" t="s">
        <v>22</v>
      </c>
      <c r="G24" s="9" t="s">
        <v>52</v>
      </c>
      <c r="I24" s="20" t="s">
        <v>27</v>
      </c>
      <c r="J24" s="26" t="s">
        <v>53</v>
      </c>
      <c r="K24" s="26" t="s">
        <v>50</v>
      </c>
      <c r="L24" s="8" t="s">
        <v>51</v>
      </c>
      <c r="M24" s="8" t="s">
        <v>22</v>
      </c>
      <c r="N24" s="9" t="s">
        <v>52</v>
      </c>
    </row>
    <row r="25" spans="2:14" x14ac:dyDescent="0.2">
      <c r="B25" s="10"/>
      <c r="C25" s="3">
        <v>0</v>
      </c>
      <c r="D25" s="3"/>
      <c r="E25">
        <f>'punten planning'!F18</f>
        <v>115</v>
      </c>
      <c r="F25">
        <f>E25</f>
        <v>115</v>
      </c>
      <c r="G25" s="11">
        <f>F25</f>
        <v>115</v>
      </c>
      <c r="I25" s="31"/>
      <c r="J25" s="3">
        <v>0</v>
      </c>
      <c r="K25" s="3"/>
      <c r="L25">
        <f>'punten planning'!F20</f>
        <v>110</v>
      </c>
      <c r="M25">
        <f>L25</f>
        <v>110</v>
      </c>
      <c r="N25" s="11">
        <f>M25</f>
        <v>110</v>
      </c>
    </row>
    <row r="26" spans="2:14" x14ac:dyDescent="0.2">
      <c r="B26" s="12">
        <v>44907</v>
      </c>
      <c r="C26" s="3">
        <f>IF(('punten planning'!$C$13*2)&gt;=1,1,0)</f>
        <v>1</v>
      </c>
      <c r="D26" s="27">
        <v>15</v>
      </c>
      <c r="E26">
        <f>IF(C26&gt;0,($E$25-D26),0)</f>
        <v>100</v>
      </c>
      <c r="F26" s="13">
        <f>IF(C26&gt;0,$F$25/('punten planning'!$C$13*2),0)</f>
        <v>19.166666666666668</v>
      </c>
      <c r="G26" s="14">
        <f>IF(C26&gt;0,G25-F26,0)</f>
        <v>95.833333333333329</v>
      </c>
      <c r="I26" s="12">
        <v>44950</v>
      </c>
      <c r="J26" s="3">
        <f>IF(('punten planning'!$C$13*2)&gt;=1,1,0)</f>
        <v>1</v>
      </c>
      <c r="K26" s="27"/>
      <c r="L26">
        <f>IF(J26&gt;0,($L$25-K26),0)</f>
        <v>110</v>
      </c>
      <c r="M26" s="13">
        <f>IF(J26&gt;0,$L$25/('punten planning'!$C$13*2),0)</f>
        <v>18.333333333333332</v>
      </c>
      <c r="N26" s="14">
        <f>IF(J26&gt;0,N25-M26,0)</f>
        <v>91.666666666666671</v>
      </c>
    </row>
    <row r="27" spans="2:14" x14ac:dyDescent="0.2">
      <c r="B27" s="12">
        <v>44908</v>
      </c>
      <c r="C27" s="3">
        <f>IF(('punten planning'!$C$13*2)&gt;=2,2,0)</f>
        <v>2</v>
      </c>
      <c r="D27" s="27">
        <v>20</v>
      </c>
      <c r="E27">
        <f>IF(C27&gt;0,($E$25-(D27+D26)),0)</f>
        <v>80</v>
      </c>
      <c r="F27" s="13">
        <f>IF(C27&gt;0,$F$25/('punten planning'!$C$13*2),0)</f>
        <v>19.166666666666668</v>
      </c>
      <c r="G27" s="14">
        <f>IF(C27&gt;0,$G$25-(SUM(F26:F27)),0)</f>
        <v>76.666666666666657</v>
      </c>
      <c r="I27" s="12">
        <v>44951</v>
      </c>
      <c r="J27" s="3">
        <f>IF(('punten planning'!$C$13*2)&gt;=2,2,0)</f>
        <v>2</v>
      </c>
      <c r="K27" s="27"/>
      <c r="L27">
        <f>IF(J27&gt;0,($L$25-(SUM(K26:K27))),0)</f>
        <v>110</v>
      </c>
      <c r="M27" s="13">
        <f>IF(J27&gt;0,$L$25/('punten planning'!$C$13*2),0)</f>
        <v>18.333333333333332</v>
      </c>
      <c r="N27" s="14">
        <f>IF(J27&gt;0,$N$25-(SUM(M26:M27)),0)</f>
        <v>73.333333333333343</v>
      </c>
    </row>
    <row r="28" spans="2:14" x14ac:dyDescent="0.2">
      <c r="B28" s="12">
        <v>44909</v>
      </c>
      <c r="C28" s="3">
        <f>IF(('punten planning'!$C$13*2)&gt;=3,3,0)</f>
        <v>3</v>
      </c>
      <c r="D28" s="27">
        <v>30</v>
      </c>
      <c r="E28">
        <f>IF(C28&gt;0,($E$25-(D28+D27+D26)),0)</f>
        <v>50</v>
      </c>
      <c r="F28" s="13">
        <f>IF(C28&gt;0,$F$25/('punten planning'!$C$13*2),0)</f>
        <v>19.166666666666668</v>
      </c>
      <c r="G28" s="14">
        <f>IF(C28&gt;0,$G$25-(SUM(F26:F28)),0)</f>
        <v>57.5</v>
      </c>
      <c r="I28" s="12">
        <v>44956</v>
      </c>
      <c r="J28" s="3">
        <f>IF(('punten planning'!$C$13*2)&gt;=3,3,0)</f>
        <v>3</v>
      </c>
      <c r="K28" s="27"/>
      <c r="L28">
        <f>IF(J28&gt;0,($L$25-(SUM(K26:K28))),0)</f>
        <v>110</v>
      </c>
      <c r="M28" s="13">
        <f>IF(J28&gt;0,$L$25/('punten planning'!$C$13*2),0)</f>
        <v>18.333333333333332</v>
      </c>
      <c r="N28" s="14">
        <f>IF(J28&gt;0,$N$25-(SUM(M26:M28)),0)</f>
        <v>55</v>
      </c>
    </row>
    <row r="29" spans="2:14" x14ac:dyDescent="0.2">
      <c r="B29" s="12">
        <v>44914</v>
      </c>
      <c r="C29" s="3">
        <f>IF(('punten planning'!$C$13*2)&gt;=4,4,0)</f>
        <v>4</v>
      </c>
      <c r="D29" s="27"/>
      <c r="E29">
        <f>IF(C29&gt;0,($E$25-(D29+D28+D27+D26)),0)</f>
        <v>50</v>
      </c>
      <c r="F29" s="13">
        <f>IF(C29&gt;0,$F$25/('punten planning'!$C$13*2),0)</f>
        <v>19.166666666666668</v>
      </c>
      <c r="G29" s="14">
        <f>IF(C29&gt;0,$G$25-(SUM(F26:F29)),0)</f>
        <v>38.333333333333329</v>
      </c>
      <c r="I29" s="12">
        <v>44957</v>
      </c>
      <c r="J29" s="3">
        <f>IF(('punten planning'!$C$13*2)&gt;=4,4,0)</f>
        <v>4</v>
      </c>
      <c r="K29" s="27"/>
      <c r="L29">
        <f>IF(J29&gt;0,($L$25-(SUM(K26:K29))),0)</f>
        <v>110</v>
      </c>
      <c r="M29" s="13">
        <f>IF(J29&gt;0,$L$25/('punten planning'!$C$13*2),0)</f>
        <v>18.333333333333332</v>
      </c>
      <c r="N29" s="14">
        <f>IF(J29&gt;0,$N$25-(SUM(M26:M29)),0)</f>
        <v>36.666666666666671</v>
      </c>
    </row>
    <row r="30" spans="2:14" x14ac:dyDescent="0.2">
      <c r="B30" s="12">
        <v>44915</v>
      </c>
      <c r="C30" s="3">
        <f>IF(('punten planning'!$C$13*2)&gt;=5,5,0)</f>
        <v>5</v>
      </c>
      <c r="D30" s="27"/>
      <c r="E30">
        <f>IF(C30&gt;0,($E$25-(D30+D29+D28+D27+D26)),0)</f>
        <v>50</v>
      </c>
      <c r="F30" s="13">
        <f>IF(C30&gt;0,$F$25/('punten planning'!$C$13*2),0)</f>
        <v>19.166666666666668</v>
      </c>
      <c r="G30" s="14">
        <f>IF(C30&gt;0,$G$25-(SUM(F26:F30)),0)</f>
        <v>19.166666666666657</v>
      </c>
      <c r="I30" s="12">
        <v>44958</v>
      </c>
      <c r="J30" s="3">
        <f>IF(('punten planning'!$C$13*2)&gt;=5,5,0)</f>
        <v>5</v>
      </c>
      <c r="K30" s="27"/>
      <c r="L30">
        <f>IF(J30&gt;0,($L$25-(SUM(K26:K30))),0)</f>
        <v>110</v>
      </c>
      <c r="M30" s="13">
        <f>IF(J30&gt;0,$L$25/('punten planning'!$C$13*2),0)</f>
        <v>18.333333333333332</v>
      </c>
      <c r="N30" s="14">
        <f>IF(J30&gt;0,$N$25-(SUM(M26:M30)),0)</f>
        <v>18.333333333333343</v>
      </c>
    </row>
    <row r="31" spans="2:14" x14ac:dyDescent="0.2">
      <c r="B31" s="12">
        <v>44916</v>
      </c>
      <c r="C31" s="3">
        <f>IF(('punten planning'!$C$13*2)&gt;=6,6,0)</f>
        <v>6</v>
      </c>
      <c r="D31" s="27"/>
      <c r="E31">
        <f>IF(C31&gt;0,($E$25-(D31+D30+D29+D28+D27+D26)),0)</f>
        <v>50</v>
      </c>
      <c r="F31" s="13">
        <f>IF(C31&gt;0,$F$25/('punten planning'!$C$13*2),0)</f>
        <v>19.166666666666668</v>
      </c>
      <c r="G31" s="14">
        <f>IF(C31&gt;0,$G$25-(SUM(F26:F31)),0)</f>
        <v>-1.4210854715202004E-14</v>
      </c>
      <c r="I31" s="15"/>
      <c r="J31" s="3">
        <f>IF(('punten planning'!$C$13*2)&gt;=6,6,0)</f>
        <v>6</v>
      </c>
      <c r="K31" s="27"/>
      <c r="L31">
        <f>IF(J31&gt;0,($L$25-(SUM(K26:K31))),0)</f>
        <v>110</v>
      </c>
      <c r="M31" s="13">
        <f>IF(J31&gt;0,$L$25/('punten planning'!$C$13*2),0)</f>
        <v>18.333333333333332</v>
      </c>
      <c r="N31" s="14">
        <f>IF(J31&gt;0,$N$25-(SUM(M26:M31)),0)</f>
        <v>1.4210854715202004E-14</v>
      </c>
    </row>
    <row r="32" spans="2:14" x14ac:dyDescent="0.2">
      <c r="B32" s="15"/>
      <c r="C32" s="3">
        <f>IF(('punten planning'!$C$13*2)&gt;=7,7,0)</f>
        <v>0</v>
      </c>
      <c r="D32" s="27"/>
      <c r="E32">
        <f>IF(C32&gt;0,($E$25-(D32+D31+D30+D29+D28+D27+D26)),0)</f>
        <v>0</v>
      </c>
      <c r="F32" s="13">
        <f>IF(C32&gt;0,$F$25/('punten planning'!$C$13*2),0)</f>
        <v>0</v>
      </c>
      <c r="G32" s="14">
        <f>IF(C32&gt;0,$G$25-(SUM(F26:F32)),0)</f>
        <v>0</v>
      </c>
      <c r="I32" s="15"/>
      <c r="J32" s="3">
        <f>IF(('punten planning'!$C$13*2)&gt;=7,7,0)</f>
        <v>0</v>
      </c>
      <c r="K32" s="27"/>
      <c r="L32">
        <f>IF(J32&gt;0,($L$25-(SUM(K26:K32))),0)</f>
        <v>0</v>
      </c>
      <c r="M32" s="13">
        <f>IF(J32&gt;0,$L$25/('punten planning'!$C$13*2),0)</f>
        <v>0</v>
      </c>
      <c r="N32" s="14">
        <f>IF(J32&gt;0,$N$25-(SUM(M26:M32)),0)</f>
        <v>0</v>
      </c>
    </row>
    <row r="33" spans="2:14" x14ac:dyDescent="0.2">
      <c r="B33" s="15"/>
      <c r="C33" s="3">
        <f>IF(('punten planning'!$C$13*2)&gt;=8,8,0)</f>
        <v>0</v>
      </c>
      <c r="D33" s="27"/>
      <c r="E33">
        <f>IF(C33&gt;0,($E$25-(D33+D32+D31+D30+D29+D28+D27+D26)),0)</f>
        <v>0</v>
      </c>
      <c r="F33" s="13">
        <f>IF(C33&gt;0,$F$25/('punten planning'!$C$13*2),0)</f>
        <v>0</v>
      </c>
      <c r="G33" s="14">
        <f>IF(C33&gt;0,$G$25-(SUM(F26:F33)),0)</f>
        <v>0</v>
      </c>
      <c r="I33" s="15"/>
      <c r="J33" s="3">
        <f>IF(('punten planning'!$C$13*2)&gt;=8,8,0)</f>
        <v>0</v>
      </c>
      <c r="K33" s="27"/>
      <c r="L33">
        <f>IF(J33&gt;0,($L$25-(SUM(K26:K33))),0)</f>
        <v>0</v>
      </c>
      <c r="M33" s="13">
        <f>IF(J33&gt;0,$L$25/('punten planning'!$C$13*2),0)</f>
        <v>0</v>
      </c>
      <c r="N33" s="14">
        <f>IF(J33&gt;0,$N$25-(SUM(M26:M33)),0)</f>
        <v>0</v>
      </c>
    </row>
    <row r="34" spans="2:14" x14ac:dyDescent="0.2">
      <c r="B34" s="15"/>
      <c r="C34" s="3">
        <f>IF(('punten planning'!$C$13*2)&gt;=9,9,0)</f>
        <v>0</v>
      </c>
      <c r="D34" s="27"/>
      <c r="E34">
        <f>IF(C34&gt;0,($E$25-(D34+D33+D32+D31+D30+D29+D28+D27+D26)),0)</f>
        <v>0</v>
      </c>
      <c r="F34" s="13">
        <f>IF(C34&gt;0,$F$25/('punten planning'!$C$13*2),0)</f>
        <v>0</v>
      </c>
      <c r="G34" s="14">
        <f>IF(C34&gt;0,$G$25-(SUM(F26:F34)),0)</f>
        <v>0</v>
      </c>
      <c r="I34" s="15"/>
      <c r="J34" s="3">
        <f>IF(('punten planning'!$C$13*2)&gt;=9,9,0)</f>
        <v>0</v>
      </c>
      <c r="K34" s="27"/>
      <c r="L34">
        <f>IF(J34&gt;0,($L$25-(SUM(K26:K34))),0)</f>
        <v>0</v>
      </c>
      <c r="M34" s="13">
        <f>IF(J34&gt;0,$L$25/('punten planning'!$C$13*2),0)</f>
        <v>0</v>
      </c>
      <c r="N34" s="14">
        <f>IF(J34&gt;0,$N$25-(SUM(M26:M34)),0)</f>
        <v>0</v>
      </c>
    </row>
    <row r="35" spans="2:14" x14ac:dyDescent="0.2">
      <c r="B35" s="15"/>
      <c r="C35" s="3">
        <f>IF(('punten planning'!$C$13*2)&gt;=10,10,0)</f>
        <v>0</v>
      </c>
      <c r="D35" s="27"/>
      <c r="E35">
        <f>IF(C35&gt;0,($E$25-(D35+D34+D33+D32+D31+D30+D29+D28+D27+D26)),0)</f>
        <v>0</v>
      </c>
      <c r="F35" s="13">
        <f>IF(C35&gt;0,$F$25/('punten planning'!$C$13*2),0)</f>
        <v>0</v>
      </c>
      <c r="G35" s="14">
        <f>IF(C35&gt;0,$G$25-(SUM(F26:F35)),0)</f>
        <v>0</v>
      </c>
      <c r="I35" s="15"/>
      <c r="J35" s="3">
        <f>IF(('punten planning'!$C$13*2)&gt;=10,10,0)</f>
        <v>0</v>
      </c>
      <c r="K35" s="27"/>
      <c r="L35">
        <f>IF(J35&gt;0,($L$25-(SUM(K26:K35))),0)</f>
        <v>0</v>
      </c>
      <c r="M35" s="13">
        <f>IF(J35&gt;0,$L$25/('punten planning'!$C$13*2),0)</f>
        <v>0</v>
      </c>
      <c r="N35" s="14">
        <f>IF(J35&gt;0,$N$25-(SUM(M26:M35)),0)</f>
        <v>0</v>
      </c>
    </row>
    <row r="36" spans="2:14" x14ac:dyDescent="0.2">
      <c r="B36" s="15"/>
      <c r="C36" s="3">
        <f>IF(('punten planning'!$C$13*2)&gt;=11,11,0)</f>
        <v>0</v>
      </c>
      <c r="D36" s="27"/>
      <c r="E36">
        <f>IF(C36&gt;0,($E$25-(D36+D35+D34+D33+D32+D31+D30+D29+D28+D27+D26)),0)</f>
        <v>0</v>
      </c>
      <c r="F36" s="13">
        <f>IF(C36&gt;0,$F$25/('punten planning'!$C$13*2),0)</f>
        <v>0</v>
      </c>
      <c r="G36" s="14">
        <f>IF(C36&gt;0,$G$25-(SUM(F26:F36)),0)</f>
        <v>0</v>
      </c>
      <c r="I36" s="15"/>
      <c r="J36" s="3">
        <f>IF(('punten planning'!$C$13*2)&gt;=11,11,0)</f>
        <v>0</v>
      </c>
      <c r="K36" s="27"/>
      <c r="L36">
        <f>IF(J36&gt;0,($L$25-(SUM(K26:K36))),0)</f>
        <v>0</v>
      </c>
      <c r="M36" s="13">
        <f>IF(J36&gt;0,$L$25/('punten planning'!$C$13*2),0)</f>
        <v>0</v>
      </c>
      <c r="N36" s="14">
        <f>IF(J36&gt;0,$N$25-(SUM(M26:M36)),0)</f>
        <v>0</v>
      </c>
    </row>
    <row r="37" spans="2:14" x14ac:dyDescent="0.2">
      <c r="B37" s="15"/>
      <c r="C37" s="3">
        <f>IF(('punten planning'!$C$13*2)&gt;=12,12,0)</f>
        <v>0</v>
      </c>
      <c r="D37" s="27"/>
      <c r="E37">
        <f>IF(C37&gt;0,($E$25-(D37+D36+D35+D34+D33+D32+D31+D30+D29+D28+D27+D26)),0)</f>
        <v>0</v>
      </c>
      <c r="F37" s="13">
        <f>IF(C37&gt;0,$F$25/('punten planning'!$C$13*2),0)</f>
        <v>0</v>
      </c>
      <c r="G37" s="14">
        <f>IF(C37&gt;0,$G$25-(SUM(F26:F37)),0)</f>
        <v>0</v>
      </c>
      <c r="I37" s="15"/>
      <c r="J37" s="3">
        <f>IF(('punten planning'!$C$13*2)&gt;=12,12,0)</f>
        <v>0</v>
      </c>
      <c r="K37" s="27"/>
      <c r="L37">
        <f>IF(J37&gt;0,($L$25-(SUM(K26:K37))),0)</f>
        <v>0</v>
      </c>
      <c r="M37" s="13">
        <f>IF(J37&gt;0,$L$25/('punten planning'!$C$13*2),0)</f>
        <v>0</v>
      </c>
      <c r="N37" s="14">
        <f>IF(J37&gt;0,$N$25-(SUM(M26:M37)),0)</f>
        <v>0</v>
      </c>
    </row>
    <row r="38" spans="2:14" x14ac:dyDescent="0.2">
      <c r="B38" s="15"/>
      <c r="C38" s="3">
        <f>IF(('punten planning'!$C$13*2)&gt;=13,13,0)</f>
        <v>0</v>
      </c>
      <c r="D38" s="27"/>
      <c r="E38">
        <f>IF(C38&gt;0,($E$25-(D38+D37+D36+D35+D34+D33+D32+D31+D30+D29+D28+D27+D26)),0)</f>
        <v>0</v>
      </c>
      <c r="F38" s="13">
        <f>IF(C38&gt;0,$F$25/('punten planning'!$C$13*2),0)</f>
        <v>0</v>
      </c>
      <c r="G38" s="14">
        <f>IF(C38&gt;0,$G$25-(SUM(F26:F38)),0)</f>
        <v>0</v>
      </c>
      <c r="I38" s="15"/>
      <c r="J38" s="3">
        <f>IF(('punten planning'!$C$13*2)&gt;=13,13,0)</f>
        <v>0</v>
      </c>
      <c r="K38" s="27"/>
      <c r="L38">
        <f>IF(J38&gt;0,($L$25-(SUM(K26:K38))),0)</f>
        <v>0</v>
      </c>
      <c r="M38" s="13">
        <f>IF(J38&gt;0,$L$25/('punten planning'!$C$13*2),0)</f>
        <v>0</v>
      </c>
      <c r="N38" s="14">
        <f>IF(J38&gt;0,$N$25-(SUM(M26:M38)),0)</f>
        <v>0</v>
      </c>
    </row>
    <row r="39" spans="2:14" ht="17" thickBot="1" x14ac:dyDescent="0.25">
      <c r="B39" s="16"/>
      <c r="C39" s="29">
        <f>IF(('punten planning'!$C$13*2)&gt;=14,14,0)</f>
        <v>0</v>
      </c>
      <c r="D39" s="28"/>
      <c r="E39" s="17">
        <f>IF(C39&gt;0,($E$25-(D39+D38+D37+D36+D35+D34+D33+D32+D31+D30+D29+D28+D27+D26)),0)</f>
        <v>0</v>
      </c>
      <c r="F39" s="18">
        <f>IF(C39&gt;0,$F$25/('punten planning'!$C$13*2),0)</f>
        <v>0</v>
      </c>
      <c r="G39" s="19">
        <f>IF(C39&gt;0,$G$25-(SUM(F26:F39)),0)</f>
        <v>0</v>
      </c>
      <c r="I39" s="16"/>
      <c r="J39" s="29">
        <f>IF(('punten planning'!$C$13*2)&gt;=14,14,0)</f>
        <v>0</v>
      </c>
      <c r="K39" s="28"/>
      <c r="L39" s="17">
        <f>IF(J39&gt;0,($L$25-(SUM(K26:K39))),0)</f>
        <v>0</v>
      </c>
      <c r="M39" s="18">
        <f>IF(J39&gt;0,$L$25/('punten planning'!$C$13*2),0)</f>
        <v>0</v>
      </c>
      <c r="N39" s="19">
        <f>IF(J39&gt;0,$N$25-(SUM(M26:M39)),0)</f>
        <v>0</v>
      </c>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17E06-F289-3B49-9CFD-D78FC1E2DAFE}">
  <sheetPr codeName="Blad2"/>
  <dimension ref="A1:J76"/>
  <sheetViews>
    <sheetView tabSelected="1" zoomScale="184" zoomScaleNormal="184" workbookViewId="0">
      <selection activeCell="C6" sqref="C6"/>
    </sheetView>
  </sheetViews>
  <sheetFormatPr baseColWidth="10" defaultRowHeight="16" x14ac:dyDescent="0.2"/>
  <cols>
    <col min="2" max="2" width="30.5" bestFit="1" customWidth="1"/>
    <col min="3" max="3" width="14" bestFit="1" customWidth="1"/>
    <col min="6" max="6" width="14.5" customWidth="1"/>
    <col min="7" max="7" width="16.1640625" customWidth="1"/>
    <col min="8" max="8" width="11.33203125" bestFit="1" customWidth="1"/>
  </cols>
  <sheetData>
    <row r="1" spans="1:10" ht="21" x14ac:dyDescent="0.25">
      <c r="A1" s="1" t="s">
        <v>54</v>
      </c>
    </row>
    <row r="3" spans="1:10" x14ac:dyDescent="0.2">
      <c r="B3" t="s">
        <v>0</v>
      </c>
      <c r="C3" s="5"/>
      <c r="D3" s="25"/>
    </row>
    <row r="4" spans="1:10" x14ac:dyDescent="0.2">
      <c r="B4" t="s">
        <v>1</v>
      </c>
      <c r="C4" s="5"/>
      <c r="D4" s="25"/>
    </row>
    <row r="5" spans="1:10" x14ac:dyDescent="0.2">
      <c r="B5" t="s">
        <v>2</v>
      </c>
      <c r="C5" s="5"/>
      <c r="D5" s="25"/>
    </row>
    <row r="6" spans="1:10" x14ac:dyDescent="0.2">
      <c r="B6" t="s">
        <v>3</v>
      </c>
      <c r="C6" s="5">
        <v>1</v>
      </c>
      <c r="D6" s="25"/>
    </row>
    <row r="7" spans="1:10" x14ac:dyDescent="0.2">
      <c r="C7" s="5">
        <v>2</v>
      </c>
      <c r="D7" s="25"/>
    </row>
    <row r="8" spans="1:10" x14ac:dyDescent="0.2">
      <c r="C8" s="5">
        <v>3</v>
      </c>
      <c r="D8" s="25"/>
    </row>
    <row r="9" spans="1:10" x14ac:dyDescent="0.2">
      <c r="C9" s="5">
        <v>4</v>
      </c>
      <c r="D9" s="25"/>
    </row>
    <row r="10" spans="1:10" x14ac:dyDescent="0.2">
      <c r="C10" s="5">
        <v>5</v>
      </c>
      <c r="D10" s="25"/>
    </row>
    <row r="12" spans="1:10" x14ac:dyDescent="0.2">
      <c r="B12" s="2" t="s">
        <v>6</v>
      </c>
      <c r="C12" s="5">
        <v>10</v>
      </c>
    </row>
    <row r="13" spans="1:10" x14ac:dyDescent="0.2">
      <c r="B13" s="2" t="s">
        <v>4</v>
      </c>
      <c r="C13" s="5">
        <v>3</v>
      </c>
    </row>
    <row r="14" spans="1:10" x14ac:dyDescent="0.2">
      <c r="B14" s="2" t="s">
        <v>5</v>
      </c>
      <c r="C14" s="5">
        <v>4</v>
      </c>
    </row>
    <row r="15" spans="1:10" x14ac:dyDescent="0.2">
      <c r="E15" s="2"/>
      <c r="F15" s="2" t="s">
        <v>22</v>
      </c>
      <c r="G15" s="2" t="s">
        <v>30</v>
      </c>
      <c r="H15" s="2" t="s">
        <v>23</v>
      </c>
      <c r="I15" s="2" t="s">
        <v>32</v>
      </c>
      <c r="J15" s="2" t="s">
        <v>52</v>
      </c>
    </row>
    <row r="16" spans="1:10" x14ac:dyDescent="0.2">
      <c r="B16" s="2" t="s">
        <v>18</v>
      </c>
      <c r="C16" s="2">
        <f>C76</f>
        <v>460</v>
      </c>
      <c r="E16" s="2" t="s">
        <v>31</v>
      </c>
      <c r="F16" s="2"/>
      <c r="G16" s="2">
        <f>C16</f>
        <v>460</v>
      </c>
      <c r="H16" s="2">
        <v>0</v>
      </c>
      <c r="I16" s="2">
        <f>C16</f>
        <v>460</v>
      </c>
      <c r="J16" s="2">
        <f>C16</f>
        <v>460</v>
      </c>
    </row>
    <row r="17" spans="1:10" x14ac:dyDescent="0.2">
      <c r="B17" s="2" t="s">
        <v>28</v>
      </c>
      <c r="C17" s="2">
        <f>C76/C14</f>
        <v>115</v>
      </c>
      <c r="E17" s="2">
        <v>1</v>
      </c>
      <c r="F17" s="2">
        <f>SUMIFS($C$26:$C$75,$F$26:$F$75,"1")</f>
        <v>115</v>
      </c>
      <c r="G17" s="2">
        <f>$C$16-F17</f>
        <v>345</v>
      </c>
      <c r="H17" s="2">
        <f>SUMIFS($C$26:$C$75,$G$26:$G$75,"1")</f>
        <v>20</v>
      </c>
      <c r="I17" s="2">
        <f>I16-H17</f>
        <v>440</v>
      </c>
      <c r="J17" s="2">
        <f>$J$16-($J$16/4)</f>
        <v>345</v>
      </c>
    </row>
    <row r="18" spans="1:10" x14ac:dyDescent="0.2">
      <c r="B18" s="2" t="s">
        <v>19</v>
      </c>
      <c r="C18" s="2">
        <f>C76-E76</f>
        <v>130</v>
      </c>
      <c r="E18" s="2">
        <v>2</v>
      </c>
      <c r="F18" s="2">
        <f>SUMIFS($C$26:$C$75,$F$26:$F$75,"2")</f>
        <v>115</v>
      </c>
      <c r="G18" s="2">
        <f>C16-(F18+F17)</f>
        <v>230</v>
      </c>
      <c r="H18" s="2">
        <f>SUMIFS($C$26:$C$75,$G$26:$G$75,"2")</f>
        <v>75</v>
      </c>
      <c r="I18" s="2">
        <f>I16-(H18+H17)</f>
        <v>365</v>
      </c>
      <c r="J18" s="2">
        <f>$J$16-(($J$16/4))*2</f>
        <v>230</v>
      </c>
    </row>
    <row r="19" spans="1:10" x14ac:dyDescent="0.2">
      <c r="B19" s="2" t="s">
        <v>20</v>
      </c>
      <c r="C19" s="2">
        <f>E76</f>
        <v>330</v>
      </c>
      <c r="E19" s="2">
        <v>3</v>
      </c>
      <c r="F19" s="2">
        <f>SUMIFS($C$26:$C$75,$F$26:$F$75,"3")</f>
        <v>120</v>
      </c>
      <c r="G19" s="2">
        <f>C16-(F19+F18+F17)</f>
        <v>110</v>
      </c>
      <c r="H19" s="2">
        <f>SUMIFS($C$26:$C$75,$G$26:$G$75,"3")</f>
        <v>0</v>
      </c>
      <c r="I19" s="2">
        <f>I16-(H19+H18+H17)</f>
        <v>365</v>
      </c>
      <c r="J19" s="2">
        <f>$J$16-(($J$16/4))*3</f>
        <v>115</v>
      </c>
    </row>
    <row r="20" spans="1:10" x14ac:dyDescent="0.2">
      <c r="E20" s="2">
        <v>4</v>
      </c>
      <c r="F20" s="2">
        <f>SUMIFS($C$26:$C$75,$F$26:$F$75,"4")</f>
        <v>110</v>
      </c>
      <c r="G20" s="2">
        <f>C16-(F20+F19+F18+F17)</f>
        <v>0</v>
      </c>
      <c r="H20" s="2">
        <f>SUMIFS($C$26:$C$75,$G$26:$G$75,"4")</f>
        <v>0</v>
      </c>
      <c r="I20" s="2">
        <f>I16-(H20+H19+H18+H17)</f>
        <v>365</v>
      </c>
      <c r="J20" s="2">
        <f>$J$16-(($J$16/4))*4</f>
        <v>0</v>
      </c>
    </row>
    <row r="24" spans="1:10" x14ac:dyDescent="0.2">
      <c r="B24" s="22"/>
      <c r="C24" s="22"/>
      <c r="D24" s="22"/>
      <c r="E24" s="3"/>
      <c r="F24" s="22"/>
      <c r="G24" s="23"/>
    </row>
    <row r="25" spans="1:10" x14ac:dyDescent="0.2">
      <c r="A25" s="2"/>
      <c r="B25" s="2" t="s">
        <v>7</v>
      </c>
      <c r="C25" s="2" t="s">
        <v>8</v>
      </c>
      <c r="D25" s="2" t="s">
        <v>15</v>
      </c>
      <c r="E25" s="2" t="s">
        <v>21</v>
      </c>
      <c r="F25" s="2" t="s">
        <v>56</v>
      </c>
      <c r="G25" s="21" t="s">
        <v>55</v>
      </c>
    </row>
    <row r="26" spans="1:10" x14ac:dyDescent="0.2">
      <c r="A26" s="2">
        <v>1</v>
      </c>
      <c r="B26" s="5" t="s">
        <v>10</v>
      </c>
      <c r="C26" s="5">
        <v>10</v>
      </c>
      <c r="D26" s="6" t="s">
        <v>16</v>
      </c>
      <c r="E26" s="2">
        <f>IF(D26=invulopties!$A$1,'punten planning'!C26-'punten planning'!C26,'punten planning'!C26)</f>
        <v>0</v>
      </c>
      <c r="F26" s="6">
        <v>1</v>
      </c>
      <c r="G26" s="6">
        <v>1</v>
      </c>
    </row>
    <row r="27" spans="1:10" x14ac:dyDescent="0.2">
      <c r="A27" s="2">
        <v>2</v>
      </c>
      <c r="B27" s="5" t="s">
        <v>11</v>
      </c>
      <c r="C27" s="5">
        <v>10</v>
      </c>
      <c r="D27" s="6" t="s">
        <v>16</v>
      </c>
      <c r="E27" s="2">
        <f>IF(D27=invulopties!$A$1,'punten planning'!C27-'punten planning'!C27,'punten planning'!C27)</f>
        <v>0</v>
      </c>
      <c r="F27" s="6">
        <v>1</v>
      </c>
      <c r="G27" s="6">
        <v>1</v>
      </c>
    </row>
    <row r="28" spans="1:10" x14ac:dyDescent="0.2">
      <c r="A28" s="2">
        <v>3</v>
      </c>
      <c r="B28" s="5" t="s">
        <v>12</v>
      </c>
      <c r="C28" s="5">
        <v>20</v>
      </c>
      <c r="D28" s="6" t="s">
        <v>16</v>
      </c>
      <c r="E28" s="2">
        <f>IF(D28=invulopties!$A$1,'punten planning'!C28-'punten planning'!C28,'punten planning'!C28)</f>
        <v>0</v>
      </c>
      <c r="F28" s="6">
        <v>1</v>
      </c>
      <c r="G28" s="6">
        <v>2</v>
      </c>
    </row>
    <row r="29" spans="1:10" x14ac:dyDescent="0.2">
      <c r="A29" s="2">
        <v>4</v>
      </c>
      <c r="B29" s="5" t="s">
        <v>13</v>
      </c>
      <c r="C29" s="5">
        <v>20</v>
      </c>
      <c r="D29" s="6" t="s">
        <v>16</v>
      </c>
      <c r="E29" s="2">
        <f>IF(D29=invulopties!$A$1,'punten planning'!C29-'punten planning'!C29,'punten planning'!C29)</f>
        <v>0</v>
      </c>
      <c r="F29" s="6">
        <v>1</v>
      </c>
      <c r="G29" s="6">
        <v>2</v>
      </c>
    </row>
    <row r="30" spans="1:10" x14ac:dyDescent="0.2">
      <c r="A30" s="2">
        <v>5</v>
      </c>
      <c r="B30" s="5" t="s">
        <v>14</v>
      </c>
      <c r="C30" s="5">
        <v>20</v>
      </c>
      <c r="D30" s="6" t="s">
        <v>16</v>
      </c>
      <c r="E30" s="2">
        <f>IF(D30=invulopties!$A$1,'punten planning'!C30-'punten planning'!C30,'punten planning'!C30)</f>
        <v>0</v>
      </c>
      <c r="F30" s="6">
        <v>1</v>
      </c>
      <c r="G30" s="6">
        <v>2</v>
      </c>
    </row>
    <row r="31" spans="1:10" x14ac:dyDescent="0.2">
      <c r="A31" s="2">
        <v>6</v>
      </c>
      <c r="B31" s="5" t="s">
        <v>33</v>
      </c>
      <c r="C31" s="5">
        <v>10</v>
      </c>
      <c r="D31" s="6" t="s">
        <v>16</v>
      </c>
      <c r="E31" s="2">
        <f>IF(D31=invulopties!$A$1,'punten planning'!C31-'punten planning'!C31,'punten planning'!C31)</f>
        <v>0</v>
      </c>
      <c r="F31" s="6">
        <v>1</v>
      </c>
      <c r="G31" s="6">
        <v>2</v>
      </c>
    </row>
    <row r="32" spans="1:10" x14ac:dyDescent="0.2">
      <c r="A32" s="2">
        <v>7</v>
      </c>
      <c r="B32" s="5" t="s">
        <v>34</v>
      </c>
      <c r="C32" s="5">
        <v>5</v>
      </c>
      <c r="D32" s="6" t="s">
        <v>16</v>
      </c>
      <c r="E32" s="2">
        <f>IF(D32=invulopties!$A$1,'punten planning'!C32-'punten planning'!C32,'punten planning'!C32)</f>
        <v>0</v>
      </c>
      <c r="F32" s="6">
        <v>2</v>
      </c>
      <c r="G32" s="6">
        <v>2</v>
      </c>
    </row>
    <row r="33" spans="1:7" x14ac:dyDescent="0.2">
      <c r="A33" s="2">
        <v>8</v>
      </c>
      <c r="B33" s="5" t="s">
        <v>35</v>
      </c>
      <c r="C33" s="5">
        <v>15</v>
      </c>
      <c r="D33" s="6" t="s">
        <v>16</v>
      </c>
      <c r="E33" s="2">
        <f>IF(D33=invulopties!$A$1,'punten planning'!C33-'punten planning'!C33,'punten planning'!C33)</f>
        <v>0</v>
      </c>
      <c r="F33" s="6">
        <v>1</v>
      </c>
      <c r="G33" s="6"/>
    </row>
    <row r="34" spans="1:7" x14ac:dyDescent="0.2">
      <c r="A34" s="2">
        <v>9</v>
      </c>
      <c r="B34" s="5" t="s">
        <v>36</v>
      </c>
      <c r="C34" s="5">
        <v>5</v>
      </c>
      <c r="D34" s="6"/>
      <c r="E34" s="2">
        <f>IF(D34=invulopties!$A$1,'punten planning'!C34-'punten planning'!C34,'punten planning'!C34)</f>
        <v>5</v>
      </c>
      <c r="F34" s="6">
        <v>2</v>
      </c>
      <c r="G34" s="6"/>
    </row>
    <row r="35" spans="1:7" x14ac:dyDescent="0.2">
      <c r="A35" s="2">
        <v>10</v>
      </c>
      <c r="B35" s="5" t="s">
        <v>37</v>
      </c>
      <c r="C35" s="5">
        <v>10</v>
      </c>
      <c r="D35" s="6"/>
      <c r="E35" s="2">
        <f>IF(D35=invulopties!$A$1,'punten planning'!C35-'punten planning'!C35,'punten planning'!C35)</f>
        <v>10</v>
      </c>
      <c r="F35" s="6">
        <v>1</v>
      </c>
      <c r="G35" s="6"/>
    </row>
    <row r="36" spans="1:7" x14ac:dyDescent="0.2">
      <c r="A36" s="2">
        <v>11</v>
      </c>
      <c r="B36" s="5" t="s">
        <v>38</v>
      </c>
      <c r="C36" s="5">
        <v>30</v>
      </c>
      <c r="D36" s="6"/>
      <c r="E36" s="2">
        <f>IF(D36=invulopties!$A$1,'punten planning'!C36-'punten planning'!C36,'punten planning'!C36)</f>
        <v>30</v>
      </c>
      <c r="F36" s="6">
        <v>2</v>
      </c>
      <c r="G36" s="6"/>
    </row>
    <row r="37" spans="1:7" x14ac:dyDescent="0.2">
      <c r="A37" s="2">
        <v>12</v>
      </c>
      <c r="B37" s="5" t="s">
        <v>39</v>
      </c>
      <c r="C37" s="5">
        <v>40</v>
      </c>
      <c r="D37" s="6"/>
      <c r="E37" s="2">
        <f>IF(D37=invulopties!$A$1,'punten planning'!C37-'punten planning'!C37,'punten planning'!C37)</f>
        <v>40</v>
      </c>
      <c r="F37" s="6">
        <v>2</v>
      </c>
      <c r="G37" s="6"/>
    </row>
    <row r="38" spans="1:7" x14ac:dyDescent="0.2">
      <c r="A38" s="2">
        <v>13</v>
      </c>
      <c r="B38" s="5" t="s">
        <v>40</v>
      </c>
      <c r="C38" s="5">
        <v>20</v>
      </c>
      <c r="D38" s="6" t="s">
        <v>16</v>
      </c>
      <c r="E38" s="2">
        <f>IF(D38=invulopties!$A$1,'punten planning'!C38-'punten planning'!C38,'punten planning'!C38)</f>
        <v>0</v>
      </c>
      <c r="F38" s="6">
        <v>2</v>
      </c>
      <c r="G38" s="6"/>
    </row>
    <row r="39" spans="1:7" x14ac:dyDescent="0.2">
      <c r="A39" s="2">
        <v>14</v>
      </c>
      <c r="B39" s="5" t="s">
        <v>41</v>
      </c>
      <c r="C39" s="5">
        <v>15</v>
      </c>
      <c r="D39" s="6"/>
      <c r="E39" s="2">
        <f>IF(D39=invulopties!$A$1,'punten planning'!C39-'punten planning'!C39,'punten planning'!C39)</f>
        <v>15</v>
      </c>
      <c r="F39" s="6">
        <v>2</v>
      </c>
      <c r="G39" s="6"/>
    </row>
    <row r="40" spans="1:7" x14ac:dyDescent="0.2">
      <c r="A40" s="2">
        <v>15</v>
      </c>
      <c r="B40" s="5" t="s">
        <v>42</v>
      </c>
      <c r="C40" s="5">
        <v>5</v>
      </c>
      <c r="D40" s="6"/>
      <c r="E40" s="2">
        <f>IF(D40=invulopties!$A$1,'punten planning'!C40-'punten planning'!C40,'punten planning'!C40)</f>
        <v>5</v>
      </c>
      <c r="F40" s="6">
        <v>3</v>
      </c>
      <c r="G40" s="6"/>
    </row>
    <row r="41" spans="1:7" x14ac:dyDescent="0.2">
      <c r="A41" s="2">
        <v>16</v>
      </c>
      <c r="B41" s="5" t="s">
        <v>43</v>
      </c>
      <c r="C41" s="5">
        <v>10</v>
      </c>
      <c r="D41" s="6"/>
      <c r="E41" s="2">
        <f>IF(D41=invulopties!$A$1,'punten planning'!C41-'punten planning'!C41,'punten planning'!C41)</f>
        <v>10</v>
      </c>
      <c r="F41" s="6">
        <v>3</v>
      </c>
      <c r="G41" s="6"/>
    </row>
    <row r="42" spans="1:7" x14ac:dyDescent="0.2">
      <c r="A42" s="2">
        <v>17</v>
      </c>
      <c r="B42" s="5" t="s">
        <v>44</v>
      </c>
      <c r="C42" s="5">
        <v>20</v>
      </c>
      <c r="D42" s="6"/>
      <c r="E42" s="2">
        <f>IF(D42=invulopties!$A$1,'punten planning'!C42-'punten planning'!C42,'punten planning'!C42)</f>
        <v>20</v>
      </c>
      <c r="F42" s="6">
        <v>3</v>
      </c>
      <c r="G42" s="6"/>
    </row>
    <row r="43" spans="1:7" x14ac:dyDescent="0.2">
      <c r="A43" s="2">
        <v>18</v>
      </c>
      <c r="B43" s="5" t="s">
        <v>45</v>
      </c>
      <c r="C43" s="5">
        <v>25</v>
      </c>
      <c r="D43" s="6"/>
      <c r="E43" s="2">
        <f>IF(D43=invulopties!$A$1,'punten planning'!C43-'punten planning'!C43,'punten planning'!C43)</f>
        <v>25</v>
      </c>
      <c r="F43" s="6">
        <v>3</v>
      </c>
      <c r="G43" s="6"/>
    </row>
    <row r="44" spans="1:7" x14ac:dyDescent="0.2">
      <c r="A44" s="2">
        <v>19</v>
      </c>
      <c r="B44" s="5" t="s">
        <v>46</v>
      </c>
      <c r="C44" s="5">
        <v>40</v>
      </c>
      <c r="D44" s="6"/>
      <c r="E44" s="2">
        <f>IF(D44=invulopties!$A$1,'punten planning'!C44-'punten planning'!C44,'punten planning'!C44)</f>
        <v>40</v>
      </c>
      <c r="F44" s="6">
        <v>3</v>
      </c>
      <c r="G44" s="6"/>
    </row>
    <row r="45" spans="1:7" x14ac:dyDescent="0.2">
      <c r="A45" s="2">
        <v>20</v>
      </c>
      <c r="B45" s="5" t="s">
        <v>47</v>
      </c>
      <c r="C45" s="5">
        <v>60</v>
      </c>
      <c r="D45" s="6"/>
      <c r="E45" s="2">
        <f>IF(D45=invulopties!$A$1,'punten planning'!C45-'punten planning'!C45,'punten planning'!C45)</f>
        <v>60</v>
      </c>
      <c r="F45" s="6">
        <v>4</v>
      </c>
      <c r="G45" s="6"/>
    </row>
    <row r="46" spans="1:7" x14ac:dyDescent="0.2">
      <c r="A46" s="2">
        <v>21</v>
      </c>
      <c r="B46" s="5" t="s">
        <v>48</v>
      </c>
      <c r="C46" s="5">
        <v>50</v>
      </c>
      <c r="D46" s="6"/>
      <c r="E46" s="2">
        <f>IF(D46=invulopties!$A$1,'punten planning'!C46-'punten planning'!C46,'punten planning'!C46)</f>
        <v>50</v>
      </c>
      <c r="F46" s="6">
        <v>4</v>
      </c>
      <c r="G46" s="6"/>
    </row>
    <row r="47" spans="1:7" x14ac:dyDescent="0.2">
      <c r="A47" s="2">
        <v>22</v>
      </c>
      <c r="B47" s="5" t="s">
        <v>49</v>
      </c>
      <c r="C47" s="5">
        <v>20</v>
      </c>
      <c r="D47" s="6"/>
      <c r="E47" s="2">
        <f>IF(D47=invulopties!$A$1,'punten planning'!C47-'punten planning'!C47,'punten planning'!C47)</f>
        <v>20</v>
      </c>
      <c r="F47" s="6">
        <v>3</v>
      </c>
      <c r="G47" s="6"/>
    </row>
    <row r="48" spans="1:7" x14ac:dyDescent="0.2">
      <c r="A48" s="2">
        <v>23</v>
      </c>
      <c r="B48" s="5"/>
      <c r="C48" s="5"/>
      <c r="D48" s="6"/>
      <c r="E48" s="2">
        <f>IF(D48=invulopties!$A$1,'punten planning'!C48-'punten planning'!C48,'punten planning'!C48)</f>
        <v>0</v>
      </c>
      <c r="F48" s="6"/>
      <c r="G48" s="6"/>
    </row>
    <row r="49" spans="1:7" x14ac:dyDescent="0.2">
      <c r="A49" s="2">
        <v>24</v>
      </c>
      <c r="B49" s="5"/>
      <c r="C49" s="5"/>
      <c r="D49" s="6"/>
      <c r="E49" s="2">
        <f>IF(D49=invulopties!$A$1,'punten planning'!C49-'punten planning'!C49,'punten planning'!C49)</f>
        <v>0</v>
      </c>
      <c r="F49" s="6"/>
      <c r="G49" s="6"/>
    </row>
    <row r="50" spans="1:7" x14ac:dyDescent="0.2">
      <c r="A50" s="2">
        <v>25</v>
      </c>
      <c r="B50" s="5"/>
      <c r="C50" s="5"/>
      <c r="D50" s="6"/>
      <c r="E50" s="2">
        <f>IF(D50=invulopties!$A$1,'punten planning'!C50-'punten planning'!C50,'punten planning'!C50)</f>
        <v>0</v>
      </c>
      <c r="F50" s="6"/>
      <c r="G50" s="6"/>
    </row>
    <row r="51" spans="1:7" x14ac:dyDescent="0.2">
      <c r="A51" s="2">
        <v>26</v>
      </c>
      <c r="B51" s="5"/>
      <c r="C51" s="5"/>
      <c r="D51" s="6"/>
      <c r="E51" s="2">
        <f>IF(D51=invulopties!$A$1,'punten planning'!C51-'punten planning'!C51,'punten planning'!C51)</f>
        <v>0</v>
      </c>
      <c r="F51" s="6"/>
      <c r="G51" s="6"/>
    </row>
    <row r="52" spans="1:7" x14ac:dyDescent="0.2">
      <c r="A52" s="2">
        <v>27</v>
      </c>
      <c r="B52" s="5"/>
      <c r="C52" s="5"/>
      <c r="D52" s="6"/>
      <c r="E52" s="2">
        <f>IF(D52=invulopties!$A$1,'punten planning'!C52-'punten planning'!C52,'punten planning'!C52)</f>
        <v>0</v>
      </c>
      <c r="F52" s="6"/>
      <c r="G52" s="6"/>
    </row>
    <row r="53" spans="1:7" x14ac:dyDescent="0.2">
      <c r="A53" s="2">
        <v>28</v>
      </c>
      <c r="B53" s="5"/>
      <c r="C53" s="5"/>
      <c r="D53" s="6"/>
      <c r="E53" s="2">
        <f>IF(D53=invulopties!$A$1,'punten planning'!C53-'punten planning'!C53,'punten planning'!C53)</f>
        <v>0</v>
      </c>
      <c r="F53" s="6"/>
      <c r="G53" s="6"/>
    </row>
    <row r="54" spans="1:7" x14ac:dyDescent="0.2">
      <c r="A54" s="2">
        <v>29</v>
      </c>
      <c r="B54" s="5"/>
      <c r="C54" s="5"/>
      <c r="D54" s="6"/>
      <c r="E54" s="2">
        <f>IF(D54=invulopties!$A$1,'punten planning'!C54-'punten planning'!C54,'punten planning'!C54)</f>
        <v>0</v>
      </c>
      <c r="F54" s="6"/>
      <c r="G54" s="6"/>
    </row>
    <row r="55" spans="1:7" x14ac:dyDescent="0.2">
      <c r="A55" s="2">
        <v>30</v>
      </c>
      <c r="B55" s="5"/>
      <c r="C55" s="5"/>
      <c r="D55" s="6"/>
      <c r="E55" s="2">
        <f>IF(D55=invulopties!$A$1,'punten planning'!C55-'punten planning'!C55,'punten planning'!C55)</f>
        <v>0</v>
      </c>
      <c r="F55" s="6"/>
      <c r="G55" s="6"/>
    </row>
    <row r="56" spans="1:7" x14ac:dyDescent="0.2">
      <c r="A56" s="2">
        <v>31</v>
      </c>
      <c r="B56" s="5"/>
      <c r="C56" s="5"/>
      <c r="D56" s="6"/>
      <c r="E56" s="2">
        <f>IF(D56=invulopties!$A$1,'punten planning'!C56-'punten planning'!C56,'punten planning'!C56)</f>
        <v>0</v>
      </c>
      <c r="F56" s="6"/>
      <c r="G56" s="6"/>
    </row>
    <row r="57" spans="1:7" x14ac:dyDescent="0.2">
      <c r="A57" s="2">
        <v>32</v>
      </c>
      <c r="B57" s="5"/>
      <c r="C57" s="5"/>
      <c r="D57" s="6"/>
      <c r="E57" s="2">
        <f>IF(D57=invulopties!$A$1,'punten planning'!C57-'punten planning'!C57,'punten planning'!C57)</f>
        <v>0</v>
      </c>
      <c r="F57" s="6"/>
      <c r="G57" s="6"/>
    </row>
    <row r="58" spans="1:7" x14ac:dyDescent="0.2">
      <c r="A58" s="2">
        <v>33</v>
      </c>
      <c r="B58" s="5"/>
      <c r="C58" s="5"/>
      <c r="D58" s="6"/>
      <c r="E58" s="2">
        <f>IF(D58=invulopties!$A$1,'punten planning'!C58-'punten planning'!C58,'punten planning'!C58)</f>
        <v>0</v>
      </c>
      <c r="F58" s="6"/>
      <c r="G58" s="6"/>
    </row>
    <row r="59" spans="1:7" x14ac:dyDescent="0.2">
      <c r="A59" s="2">
        <v>34</v>
      </c>
      <c r="B59" s="5"/>
      <c r="C59" s="5"/>
      <c r="D59" s="6"/>
      <c r="E59" s="2">
        <f>IF(D59=invulopties!$A$1,'punten planning'!C59-'punten planning'!C59,'punten planning'!C59)</f>
        <v>0</v>
      </c>
      <c r="F59" s="6"/>
      <c r="G59" s="6"/>
    </row>
    <row r="60" spans="1:7" x14ac:dyDescent="0.2">
      <c r="A60" s="2">
        <v>35</v>
      </c>
      <c r="B60" s="5"/>
      <c r="C60" s="5"/>
      <c r="D60" s="6"/>
      <c r="E60" s="2">
        <f>IF(D60=invulopties!$A$1,'punten planning'!C60-'punten planning'!C60,'punten planning'!C60)</f>
        <v>0</v>
      </c>
      <c r="F60" s="6"/>
      <c r="G60" s="6"/>
    </row>
    <row r="61" spans="1:7" x14ac:dyDescent="0.2">
      <c r="A61" s="2">
        <v>36</v>
      </c>
      <c r="B61" s="5"/>
      <c r="C61" s="5"/>
      <c r="D61" s="6"/>
      <c r="E61" s="2">
        <f>IF(D61=invulopties!$A$1,'punten planning'!C61-'punten planning'!C61,'punten planning'!C61)</f>
        <v>0</v>
      </c>
      <c r="F61" s="6"/>
      <c r="G61" s="6"/>
    </row>
    <row r="62" spans="1:7" x14ac:dyDescent="0.2">
      <c r="A62" s="2">
        <v>37</v>
      </c>
      <c r="B62" s="5"/>
      <c r="C62" s="5"/>
      <c r="D62" s="6"/>
      <c r="E62" s="2">
        <f>IF(D62=invulopties!$A$1,'punten planning'!C62-'punten planning'!C62,'punten planning'!C62)</f>
        <v>0</v>
      </c>
      <c r="F62" s="6"/>
      <c r="G62" s="6"/>
    </row>
    <row r="63" spans="1:7" x14ac:dyDescent="0.2">
      <c r="A63" s="2">
        <v>38</v>
      </c>
      <c r="B63" s="5"/>
      <c r="C63" s="5"/>
      <c r="D63" s="6"/>
      <c r="E63" s="2">
        <f>IF(D63=invulopties!$A$1,'punten planning'!C63-'punten planning'!C63,'punten planning'!C63)</f>
        <v>0</v>
      </c>
      <c r="F63" s="6"/>
      <c r="G63" s="6"/>
    </row>
    <row r="64" spans="1:7" x14ac:dyDescent="0.2">
      <c r="A64" s="2">
        <v>39</v>
      </c>
      <c r="B64" s="5"/>
      <c r="C64" s="5"/>
      <c r="D64" s="6"/>
      <c r="E64" s="2">
        <f>IF(D64=invulopties!$A$1,'punten planning'!C64-'punten planning'!C64,'punten planning'!C64)</f>
        <v>0</v>
      </c>
      <c r="F64" s="6"/>
      <c r="G64" s="6"/>
    </row>
    <row r="65" spans="1:7" x14ac:dyDescent="0.2">
      <c r="A65" s="2">
        <v>40</v>
      </c>
      <c r="B65" s="5"/>
      <c r="C65" s="5"/>
      <c r="D65" s="6"/>
      <c r="E65" s="2">
        <f>IF(D65=invulopties!$A$1,'punten planning'!C65-'punten planning'!C65,'punten planning'!C65)</f>
        <v>0</v>
      </c>
      <c r="F65" s="6"/>
      <c r="G65" s="6"/>
    </row>
    <row r="66" spans="1:7" x14ac:dyDescent="0.2">
      <c r="A66" s="2">
        <v>41</v>
      </c>
      <c r="B66" s="5"/>
      <c r="C66" s="5"/>
      <c r="D66" s="6"/>
      <c r="E66" s="2">
        <f>IF(D66=invulopties!$A$1,'punten planning'!C66-'punten planning'!C66,'punten planning'!C66)</f>
        <v>0</v>
      </c>
      <c r="F66" s="6"/>
      <c r="G66" s="6"/>
    </row>
    <row r="67" spans="1:7" x14ac:dyDescent="0.2">
      <c r="A67" s="2">
        <v>42</v>
      </c>
      <c r="B67" s="5"/>
      <c r="C67" s="5"/>
      <c r="D67" s="6"/>
      <c r="E67" s="2">
        <f>IF(D67=invulopties!$A$1,'punten planning'!C67-'punten planning'!C67,'punten planning'!C67)</f>
        <v>0</v>
      </c>
      <c r="F67" s="6"/>
      <c r="G67" s="6"/>
    </row>
    <row r="68" spans="1:7" x14ac:dyDescent="0.2">
      <c r="A68" s="2">
        <v>43</v>
      </c>
      <c r="B68" s="5"/>
      <c r="C68" s="5"/>
      <c r="D68" s="6"/>
      <c r="E68" s="2">
        <f>IF(D68=invulopties!$A$1,'punten planning'!C68-'punten planning'!C68,'punten planning'!C68)</f>
        <v>0</v>
      </c>
      <c r="F68" s="6"/>
      <c r="G68" s="6"/>
    </row>
    <row r="69" spans="1:7" x14ac:dyDescent="0.2">
      <c r="A69" s="2">
        <v>44</v>
      </c>
      <c r="B69" s="5"/>
      <c r="C69" s="5"/>
      <c r="D69" s="6"/>
      <c r="E69" s="2">
        <f>IF(D69=invulopties!$A$1,'punten planning'!C69-'punten planning'!C69,'punten planning'!C69)</f>
        <v>0</v>
      </c>
      <c r="F69" s="6"/>
      <c r="G69" s="6"/>
    </row>
    <row r="70" spans="1:7" x14ac:dyDescent="0.2">
      <c r="A70" s="2">
        <v>45</v>
      </c>
      <c r="B70" s="5"/>
      <c r="C70" s="5"/>
      <c r="D70" s="6"/>
      <c r="E70" s="2">
        <f>IF(D70=invulopties!$A$1,'punten planning'!C70-'punten planning'!C70,'punten planning'!C70)</f>
        <v>0</v>
      </c>
      <c r="F70" s="6"/>
      <c r="G70" s="6"/>
    </row>
    <row r="71" spans="1:7" x14ac:dyDescent="0.2">
      <c r="A71" s="2">
        <v>46</v>
      </c>
      <c r="B71" s="5"/>
      <c r="C71" s="5"/>
      <c r="D71" s="6"/>
      <c r="E71" s="2">
        <f>IF(D71=invulopties!$A$1,'punten planning'!C71-'punten planning'!C71,'punten planning'!C71)</f>
        <v>0</v>
      </c>
      <c r="F71" s="6"/>
      <c r="G71" s="6"/>
    </row>
    <row r="72" spans="1:7" x14ac:dyDescent="0.2">
      <c r="A72" s="2">
        <v>47</v>
      </c>
      <c r="B72" s="5"/>
      <c r="C72" s="5"/>
      <c r="D72" s="6"/>
      <c r="E72" s="2">
        <f>IF(D72=invulopties!$A$1,'punten planning'!C72-'punten planning'!C72,'punten planning'!C72)</f>
        <v>0</v>
      </c>
      <c r="F72" s="6"/>
      <c r="G72" s="6"/>
    </row>
    <row r="73" spans="1:7" x14ac:dyDescent="0.2">
      <c r="A73" s="2">
        <v>48</v>
      </c>
      <c r="B73" s="5"/>
      <c r="C73" s="5"/>
      <c r="D73" s="6"/>
      <c r="E73" s="2">
        <f>IF(D73=invulopties!$A$1,'punten planning'!C73-'punten planning'!C73,'punten planning'!C73)</f>
        <v>0</v>
      </c>
      <c r="F73" s="6"/>
      <c r="G73" s="6"/>
    </row>
    <row r="74" spans="1:7" x14ac:dyDescent="0.2">
      <c r="A74" s="2">
        <v>49</v>
      </c>
      <c r="B74" s="5"/>
      <c r="C74" s="5"/>
      <c r="D74" s="6"/>
      <c r="E74" s="2">
        <f>IF(D74=invulopties!$A$1,'punten planning'!C74-'punten planning'!C74,'punten planning'!C74)</f>
        <v>0</v>
      </c>
      <c r="F74" s="6"/>
      <c r="G74" s="6"/>
    </row>
    <row r="75" spans="1:7" x14ac:dyDescent="0.2">
      <c r="A75" s="2">
        <v>50</v>
      </c>
      <c r="B75" s="5"/>
      <c r="C75" s="5"/>
      <c r="D75" s="6"/>
      <c r="E75" s="2">
        <f>IF(D75=invulopties!$A$1,'punten planning'!C75-'punten planning'!C75,'punten planning'!C75)</f>
        <v>0</v>
      </c>
      <c r="F75" s="6"/>
      <c r="G75" s="6"/>
    </row>
    <row r="76" spans="1:7" x14ac:dyDescent="0.2">
      <c r="A76" s="4"/>
      <c r="B76" s="4" t="s">
        <v>9</v>
      </c>
      <c r="C76" s="4">
        <f>SUM(C26:C75)</f>
        <v>460</v>
      </c>
      <c r="E76">
        <f>SUM(E26:E75)</f>
        <v>330</v>
      </c>
    </row>
  </sheetData>
  <sheetProtection sheet="1" objects="1" scenarios="1"/>
  <phoneticPr fontId="2" type="noConversion"/>
  <conditionalFormatting sqref="E26:E75">
    <cfRule type="cellIs" dxfId="1" priority="1" operator="greaterThan">
      <formula>0</formula>
    </cfRule>
    <cfRule type="cellIs" dxfId="0" priority="2" operator="equal">
      <formula>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0CEA3D6-AB9F-FE44-B2AF-8F4EDFBFF436}">
          <x14:formula1>
            <xm:f>invulopties!$A$1:$A$2</xm:f>
          </x14:formula1>
          <xm:sqref>D26:D75</xm:sqref>
        </x14:dataValidation>
        <x14:dataValidation type="list" allowBlank="1" showInputMessage="1" showErrorMessage="1" xr:uid="{ED1C8BB3-A2AA-0A4B-86F1-6BE64C7F157B}">
          <x14:formula1>
            <xm:f>invulopties!$B$1:$B$4</xm:f>
          </x14:formula1>
          <xm:sqref>F26:G75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EB139-51A3-ED42-B0D7-D2862342D37A}">
  <sheetPr codeName="Blad3"/>
  <dimension ref="A1"/>
  <sheetViews>
    <sheetView workbookViewId="0">
      <selection activeCell="D24" sqref="D24"/>
    </sheetView>
  </sheetViews>
  <sheetFormatPr baseColWidth="10" defaultRowHeight="16" x14ac:dyDescent="0.2"/>
  <sheetData/>
  <sheetProtection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42395-EC27-8D42-A561-340B8491653C}">
  <sheetPr codeName="Blad4"/>
  <dimension ref="A1:B4"/>
  <sheetViews>
    <sheetView workbookViewId="0">
      <selection sqref="A1:B4"/>
    </sheetView>
  </sheetViews>
  <sheetFormatPr baseColWidth="10" defaultRowHeight="16" x14ac:dyDescent="0.2"/>
  <sheetData>
    <row r="1" spans="1:2" x14ac:dyDescent="0.2">
      <c r="A1" t="s">
        <v>16</v>
      </c>
      <c r="B1">
        <v>1</v>
      </c>
    </row>
    <row r="2" spans="1:2" x14ac:dyDescent="0.2">
      <c r="A2" t="s">
        <v>17</v>
      </c>
      <c r="B2">
        <v>2</v>
      </c>
    </row>
    <row r="3" spans="1:2" x14ac:dyDescent="0.2">
      <c r="B3">
        <v>3</v>
      </c>
    </row>
    <row r="4" spans="1:2" x14ac:dyDescent="0.2">
      <c r="B4">
        <v>4</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E26D0-8B36-1647-B0E4-0DBBBBB35EFA}">
  <dimension ref="A1:F3"/>
  <sheetViews>
    <sheetView workbookViewId="0">
      <selection activeCell="O23" sqref="O23"/>
    </sheetView>
  </sheetViews>
  <sheetFormatPr baseColWidth="10" defaultRowHeight="16" x14ac:dyDescent="0.2"/>
  <sheetData>
    <row r="1" spans="1:6" ht="24" x14ac:dyDescent="0.3">
      <c r="A1" s="24" t="s">
        <v>57</v>
      </c>
    </row>
    <row r="3" spans="1:6" ht="102" customHeight="1" x14ac:dyDescent="0.2">
      <c r="A3" s="30" t="s">
        <v>58</v>
      </c>
      <c r="B3" s="30"/>
      <c r="C3" s="30"/>
      <c r="D3" s="30"/>
      <c r="E3" s="30"/>
      <c r="F3" s="30"/>
    </row>
  </sheetData>
  <sheetProtection sheet="1" objects="1" scenarios="1"/>
  <mergeCells count="1">
    <mergeCell ref="A3:F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sprint planning</vt:lpstr>
      <vt:lpstr>punten planning</vt:lpstr>
      <vt:lpstr>Burndowns</vt:lpstr>
      <vt:lpstr>invulopties</vt:lpstr>
      <vt:lpstr>Uitleg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Niels Rook</dc:creator>
  <cp:lastModifiedBy>Niels Rook</cp:lastModifiedBy>
  <dcterms:created xsi:type="dcterms:W3CDTF">2022-11-24T11:33:16Z</dcterms:created>
  <dcterms:modified xsi:type="dcterms:W3CDTF">2023-01-23T13:22:16Z</dcterms:modified>
</cp:coreProperties>
</file>